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00" windowWidth="24880" windowHeight="20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'Sheet1'!$A$1:$AK$151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<sst xmlns="http://schemas.openxmlformats.org/spreadsheetml/2006/main" count="1824" uniqueCount="1186">
  <si>
    <t>93.3/88.0</t>
  </si>
  <si>
    <t>83.5/76.7</t>
  </si>
  <si>
    <t>81.9/72.3</t>
  </si>
  <si>
    <t>81.4/68.0</t>
  </si>
  <si>
    <t>94.3/89.5</t>
  </si>
  <si>
    <t>92.1/87.4</t>
  </si>
  <si>
    <t>86.4/75.7</t>
  </si>
  <si>
    <t>84.9/72.8</t>
  </si>
  <si>
    <t>84.7/78.1</t>
  </si>
  <si>
    <t>90.9/85.9</t>
  </si>
  <si>
    <t>65.3/58.4</t>
  </si>
  <si>
    <t>90.9/92.4</t>
  </si>
  <si>
    <t>88.5/87.4</t>
  </si>
  <si>
    <t>91.2/85.2</t>
  </si>
  <si>
    <t>91.6/84.3</t>
  </si>
  <si>
    <t>79.4/74.9</t>
  </si>
  <si>
    <t>86.8/75.7</t>
  </si>
  <si>
    <t>72.5/60.1</t>
  </si>
  <si>
    <t>89.1/84.6</t>
  </si>
  <si>
    <t>84.4/80.7</t>
  </si>
  <si>
    <t>73.3/67.7</t>
  </si>
  <si>
    <t>90.9/83.0</t>
  </si>
  <si>
    <t>90.8/81.0</t>
  </si>
  <si>
    <t>84.1/78.9</t>
  </si>
  <si>
    <t>91.8/87.6</t>
  </si>
  <si>
    <t>71.8/76.0</t>
  </si>
  <si>
    <t>83.7/74.1</t>
  </si>
  <si>
    <t>84.3/84.6</t>
  </si>
  <si>
    <t>70.5/71.5</t>
  </si>
  <si>
    <t>69.5/71.4</t>
  </si>
  <si>
    <t>87.4/79.5</t>
  </si>
  <si>
    <t>74.6/70.3</t>
  </si>
  <si>
    <t>79.8/72.4</t>
  </si>
  <si>
    <t>68.4/78.0</t>
  </si>
  <si>
    <t>78.1/79.8</t>
  </si>
  <si>
    <t>79.8/78.6</t>
  </si>
  <si>
    <t>70.2/66.1</t>
  </si>
  <si>
    <t>86.1/84.6</t>
  </si>
  <si>
    <t>64.1/67.3</t>
  </si>
  <si>
    <t>69.9/73.1</t>
  </si>
  <si>
    <t>75.4/68.0</t>
  </si>
  <si>
    <t>75.9/75.6</t>
  </si>
  <si>
    <t>66.0/60.3</t>
  </si>
  <si>
    <t>80.1/66.8</t>
  </si>
  <si>
    <t>69.4/62.9</t>
  </si>
  <si>
    <t>87.6/83.0</t>
  </si>
  <si>
    <t>63.4/61.1</t>
  </si>
  <si>
    <t>85.5/80.2</t>
  </si>
  <si>
    <t>70.8/69.6</t>
  </si>
  <si>
    <t>64.6/55.1</t>
  </si>
  <si>
    <t>61.3/59.3</t>
  </si>
  <si>
    <t>66.3/71.5</t>
  </si>
  <si>
    <t>69.5/68.4</t>
  </si>
  <si>
    <t>71.4/67.4</t>
  </si>
  <si>
    <t>71.3/66.1</t>
  </si>
  <si>
    <t>88.1/83.9</t>
  </si>
  <si>
    <t>51.3/39.6</t>
  </si>
  <si>
    <t>77.7/80.8</t>
  </si>
  <si>
    <t>75.7/68.6</t>
  </si>
  <si>
    <t>75.9/73.5</t>
  </si>
  <si>
    <t>46.5/43.3</t>
  </si>
  <si>
    <t>83.7/76.0</t>
  </si>
  <si>
    <t>75.3/69.2</t>
  </si>
  <si>
    <t>60.2/53.0</t>
  </si>
  <si>
    <t>71.2/70.1</t>
  </si>
  <si>
    <t>93.3/89.1</t>
  </si>
  <si>
    <t>71.0/62.4</t>
  </si>
  <si>
    <t>78.3/79.4</t>
  </si>
  <si>
    <t>48.5/45.8</t>
  </si>
  <si>
    <t>64.9/64.4</t>
  </si>
  <si>
    <t>88.5/84.8</t>
  </si>
  <si>
    <t>89.7/87.7</t>
  </si>
  <si>
    <t>74.4/68.4</t>
  </si>
  <si>
    <t>66.4/63.9</t>
  </si>
  <si>
    <t>89.9/83.9</t>
  </si>
  <si>
    <t>63.3/56.5</t>
  </si>
  <si>
    <t>NAHANT</t>
  </si>
  <si>
    <t>NATICK</t>
  </si>
  <si>
    <t>89/84</t>
  </si>
  <si>
    <t>Median Condo Price 2003</t>
  </si>
  <si>
    <t>44,638</t>
  </si>
  <si>
    <t>20,722</t>
  </si>
  <si>
    <t>73.5/77.7</t>
  </si>
  <si>
    <t>78.3/68.8</t>
  </si>
  <si>
    <t>73.0/73.5</t>
  </si>
  <si>
    <t>89.3/84.6</t>
  </si>
  <si>
    <t>59.8/54.1</t>
  </si>
  <si>
    <t>76.6/67.0</t>
  </si>
  <si>
    <t>63.5/59.9</t>
  </si>
  <si>
    <t>77.1/82.1</t>
  </si>
  <si>
    <t>75.5/75.3</t>
  </si>
  <si>
    <t>56.5/60.4</t>
  </si>
  <si>
    <t>70.4/78.0</t>
  </si>
  <si>
    <t>66.0/66.0</t>
  </si>
  <si>
    <t>89.1/85.1</t>
  </si>
  <si>
    <t>79.4/80.2</t>
  </si>
  <si>
    <t>85.6/75.8</t>
  </si>
  <si>
    <t>93.2/89.3</t>
  </si>
  <si>
    <t>91.5/82.8</t>
  </si>
  <si>
    <t>78.7/75.0</t>
  </si>
  <si>
    <t>83.7/79.4</t>
  </si>
  <si>
    <t>91.3/86.2</t>
  </si>
  <si>
    <t>87.2/80.0</t>
  </si>
  <si>
    <t>90.3/82.8</t>
  </si>
  <si>
    <t>84.5/73.7</t>
  </si>
  <si>
    <t>82.3/77.6</t>
  </si>
  <si>
    <t>92.7/87.5</t>
  </si>
  <si>
    <t>95.3/89.9</t>
  </si>
  <si>
    <t>83.3/74.7</t>
  </si>
  <si>
    <t>87.7/79.3</t>
  </si>
  <si>
    <t>91.7/86.5</t>
  </si>
  <si>
    <t>91.4/85.3</t>
  </si>
  <si>
    <t>93.9/88.2</t>
  </si>
  <si>
    <t>90.0/85.0</t>
  </si>
  <si>
    <t>89.9/78.7</t>
  </si>
  <si>
    <t>96.8/94.9</t>
  </si>
  <si>
    <t>84.1/71.4</t>
  </si>
  <si>
    <t>93.3/86.0</t>
  </si>
  <si>
    <t>91.1/83.0</t>
  </si>
  <si>
    <t>90.7/87.7</t>
  </si>
  <si>
    <t>72.9/70.5</t>
  </si>
  <si>
    <t>86.7/82.9</t>
  </si>
  <si>
    <t>76.2/76.3</t>
  </si>
  <si>
    <t>73.4/71.1</t>
  </si>
  <si>
    <t>61.7/58.0</t>
  </si>
  <si>
    <t>59.8/45.4</t>
  </si>
  <si>
    <t>82.1/77.7</t>
  </si>
  <si>
    <t>86.3/87.9</t>
  </si>
  <si>
    <t>69.2/71.0</t>
  </si>
  <si>
    <t>611/631</t>
  </si>
  <si>
    <t>534/562</t>
  </si>
  <si>
    <t>581/598</t>
  </si>
  <si>
    <t>584/583</t>
  </si>
  <si>
    <t>500/511</t>
  </si>
  <si>
    <t>555/554</t>
  </si>
  <si>
    <t>542/540</t>
  </si>
  <si>
    <t>557/580</t>
  </si>
  <si>
    <t>504/525</t>
  </si>
  <si>
    <t>$630,000</t>
  </si>
  <si>
    <t>$715,000</t>
  </si>
  <si>
    <t>$329,900</t>
  </si>
  <si>
    <t>$275,000</t>
  </si>
  <si>
    <t>91.8/83.8</t>
  </si>
  <si>
    <t>93.2/89.1</t>
  </si>
  <si>
    <t>92.0/82.3</t>
  </si>
  <si>
    <t>84.5/80.9</t>
  </si>
  <si>
    <t>93.2/88.3</t>
  </si>
  <si>
    <t>83.4/76.9</t>
  </si>
  <si>
    <t>91.7/83.1</t>
  </si>
  <si>
    <t>77.8/74.5</t>
  </si>
  <si>
    <t>87.7/81.9</t>
  </si>
  <si>
    <t>93.0/87.4</t>
  </si>
  <si>
    <t>78.5/69.8</t>
  </si>
  <si>
    <t>90.1/85.9</t>
  </si>
  <si>
    <t>81.1/76.2</t>
  </si>
  <si>
    <t>67.4/60.8</t>
  </si>
  <si>
    <t>85.3/83.5</t>
  </si>
  <si>
    <t>56.4/57.5</t>
  </si>
  <si>
    <t>74.0/73.6</t>
  </si>
  <si>
    <t>77.0/73.7</t>
  </si>
  <si>
    <t>79.8/75.9</t>
  </si>
  <si>
    <t>62.7/57.5</t>
  </si>
  <si>
    <t>72.7/63.9</t>
  </si>
  <si>
    <t>91.0/90.0</t>
  </si>
  <si>
    <t>89.5/80.8</t>
  </si>
  <si>
    <t>79.9/79.7</t>
  </si>
  <si>
    <t>83.6/78.7</t>
  </si>
  <si>
    <t>90.6/86.4</t>
  </si>
  <si>
    <t>89.0/79.3</t>
  </si>
  <si>
    <t>83.8/81.8</t>
  </si>
  <si>
    <t>63.3/66.7</t>
  </si>
  <si>
    <t>72.5/65.0</t>
  </si>
  <si>
    <t>86.8/83.8</t>
  </si>
  <si>
    <t>69.2/54.0</t>
  </si>
  <si>
    <t>67.3/71.1</t>
  </si>
  <si>
    <t>75.9/71.7</t>
  </si>
  <si>
    <t>78.7/67.6</t>
  </si>
  <si>
    <t>89.2/85.7</t>
  </si>
  <si>
    <t>81.1/72.3</t>
  </si>
  <si>
    <t>87.5/83.6</t>
  </si>
  <si>
    <t>90.9/81.8</t>
  </si>
  <si>
    <t>93.5/88.9</t>
  </si>
  <si>
    <t>93.3/88.9</t>
  </si>
  <si>
    <t>92.8/88.5</t>
  </si>
  <si>
    <t>86.3/80.2</t>
  </si>
  <si>
    <t>87.3/77.8</t>
  </si>
  <si>
    <t>93.1/90.3</t>
  </si>
  <si>
    <t>72.0/66.7</t>
  </si>
  <si>
    <t>93.0/86.4</t>
  </si>
  <si>
    <t>74.0/63.4</t>
  </si>
  <si>
    <t>87.0/80.3</t>
  </si>
  <si>
    <t>90.9/84.7</t>
  </si>
  <si>
    <t>75.8/66.1</t>
  </si>
  <si>
    <t>95.3/92.6</t>
  </si>
  <si>
    <t>78.0/68.0</t>
  </si>
  <si>
    <t>89.5/80.3</t>
  </si>
  <si>
    <t>92.1/81.9</t>
  </si>
  <si>
    <t>95.6/91.9</t>
  </si>
  <si>
    <t>93.1/86.3</t>
  </si>
  <si>
    <t>83.2/75.9</t>
  </si>
  <si>
    <t>95.2/90.8</t>
  </si>
  <si>
    <t>89.4/82.1</t>
  </si>
  <si>
    <t>81.3/73.8</t>
  </si>
  <si>
    <t>87.6/78.2</t>
  </si>
  <si>
    <t>81.8/67.0</t>
  </si>
  <si>
    <t>87.3/82.0</t>
  </si>
  <si>
    <t>89.4/84.1</t>
  </si>
  <si>
    <t>81.4/74.6</t>
  </si>
  <si>
    <t>75.7/69.2</t>
  </si>
  <si>
    <t>78.6/72.9</t>
  </si>
  <si>
    <t>81.7/72.4</t>
  </si>
  <si>
    <t>83.1/80.1</t>
  </si>
  <si>
    <t>71.9/64.7</t>
  </si>
  <si>
    <t>82.7/73.5</t>
  </si>
  <si>
    <t>92.7/85.5</t>
  </si>
  <si>
    <t>93.7/90.4</t>
  </si>
  <si>
    <t>96.8/97.0</t>
  </si>
  <si>
    <t>89.0/83.6</t>
  </si>
  <si>
    <t>72.3/61.0</t>
  </si>
  <si>
    <t>94.8/93.4</t>
  </si>
  <si>
    <t>86.5/79.7</t>
  </si>
  <si>
    <t>$310,000</t>
  </si>
  <si>
    <t>$454,500</t>
  </si>
  <si>
    <t>$425,000</t>
  </si>
  <si>
    <t>$734,000</t>
  </si>
  <si>
    <t>$381,000</t>
  </si>
  <si>
    <t>$489,500</t>
  </si>
  <si>
    <t>$393,000</t>
  </si>
  <si>
    <t>62.0/67.7</t>
  </si>
  <si>
    <t>62.9/62.8</t>
  </si>
  <si>
    <t>54.9/50.5</t>
  </si>
  <si>
    <t>84.2/76.2</t>
  </si>
  <si>
    <t>58.2/55.6</t>
  </si>
  <si>
    <t>62.3/67.2</t>
  </si>
  <si>
    <t>74.7/82.5</t>
  </si>
  <si>
    <t>56.3/50.4</t>
  </si>
  <si>
    <t>68.4/65.1</t>
  </si>
  <si>
    <t>83.9/73.1</t>
  </si>
  <si>
    <t>82.8/80.9</t>
  </si>
  <si>
    <t>79.7/79.5</t>
  </si>
  <si>
    <t>62.2/54.5</t>
  </si>
  <si>
    <t>83.6/79.9</t>
  </si>
  <si>
    <t>74.6/73.6</t>
  </si>
  <si>
    <t>108</t>
  </si>
  <si>
    <t>261</t>
  </si>
  <si>
    <t>180</t>
  </si>
  <si>
    <t>10</t>
  </si>
  <si>
    <t>18</t>
  </si>
  <si>
    <t>236</t>
  </si>
  <si>
    <t>203</t>
  </si>
  <si>
    <t>294</t>
  </si>
  <si>
    <t>51</t>
  </si>
  <si>
    <t>67</t>
  </si>
  <si>
    <t>55</t>
  </si>
  <si>
    <t>85</t>
  </si>
  <si>
    <t>60</t>
  </si>
  <si>
    <t>122</t>
  </si>
  <si>
    <t>308</t>
  </si>
  <si>
    <t>249</t>
  </si>
  <si>
    <t>387</t>
  </si>
  <si>
    <t>356</t>
  </si>
  <si>
    <t>112</t>
  </si>
  <si>
    <t>150</t>
  </si>
  <si>
    <t>49</t>
  </si>
  <si>
    <t>170</t>
  </si>
  <si>
    <t>47</t>
  </si>
  <si>
    <t>WHITMAN</t>
  </si>
  <si>
    <t>WILMINGTON</t>
  </si>
  <si>
    <t>WINCHESTER</t>
  </si>
  <si>
    <t>WINTHROP</t>
  </si>
  <si>
    <t>WOBURN</t>
  </si>
  <si>
    <t>WRENTHAM</t>
  </si>
  <si>
    <t>Population</t>
  </si>
  <si>
    <t>Median Home Price 2003</t>
  </si>
  <si>
    <t>Median Home Price</t>
  </si>
  <si>
    <t>Percent Increase (Decrease) from 2003</t>
  </si>
  <si>
    <t>Property Tax Rate Per $1,000</t>
  </si>
  <si>
    <t>Median Resident Age</t>
  </si>
  <si>
    <t xml:space="preserve">Rail Time to Boston (Minutes) </t>
  </si>
  <si>
    <t>56,155</t>
  </si>
  <si>
    <t>5,307</t>
  </si>
  <si>
    <t>22,827</t>
  </si>
  <si>
    <t>20,482</t>
  </si>
  <si>
    <t>38,144</t>
  </si>
  <si>
    <t>24,815</t>
  </si>
  <si>
    <t>10,446</t>
  </si>
  <si>
    <t>12,447</t>
  </si>
  <si>
    <t>55,137</t>
  </si>
  <si>
    <t>12,888</t>
  </si>
  <si>
    <t>26,963</t>
  </si>
  <si>
    <t>6,289</t>
  </si>
  <si>
    <t>$323,000</t>
  </si>
  <si>
    <t>$349,900</t>
  </si>
  <si>
    <t>$455,000</t>
  </si>
  <si>
    <t>434/453</t>
  </si>
  <si>
    <t>512/526</t>
  </si>
  <si>
    <t>506/516</t>
  </si>
  <si>
    <t>454/449</t>
  </si>
  <si>
    <t>578/598</t>
  </si>
  <si>
    <t>504/532</t>
  </si>
  <si>
    <t>475/477</t>
  </si>
  <si>
    <t>527/553</t>
  </si>
  <si>
    <t>589/632</t>
  </si>
  <si>
    <t>548/556</t>
  </si>
  <si>
    <t>526/544</t>
  </si>
  <si>
    <t>510/484</t>
  </si>
  <si>
    <t>30,024</t>
  </si>
  <si>
    <t>1,218</t>
  </si>
  <si>
    <t>395</t>
  </si>
  <si>
    <t>4,187</t>
  </si>
  <si>
    <t>1,039</t>
  </si>
  <si>
    <t>852</t>
  </si>
  <si>
    <t>8,781</t>
  </si>
  <si>
    <t>27,309</t>
  </si>
  <si>
    <t>8,015</t>
  </si>
  <si>
    <t>26,010</t>
  </si>
  <si>
    <t>3,638</t>
  </si>
  <si>
    <t>32,384</t>
  </si>
  <si>
    <t>NORFOLK</t>
  </si>
  <si>
    <t>NORTH ANDOVER</t>
  </si>
  <si>
    <t>NORTH ATTLEBOROUGH</t>
  </si>
  <si>
    <t>NORTH READING</t>
  </si>
  <si>
    <t>NORTHBOROUGH</t>
  </si>
  <si>
    <t>NORTON</t>
  </si>
  <si>
    <t>NORWELL</t>
  </si>
  <si>
    <t>NORWOOD</t>
  </si>
  <si>
    <t>66.1/63.1</t>
  </si>
  <si>
    <t>90.0/83.7</t>
  </si>
  <si>
    <t>55.8/57.1</t>
  </si>
  <si>
    <t>79.6/78.4</t>
  </si>
  <si>
    <t>58.3/50.9</t>
  </si>
  <si>
    <t>83.4/82.4</t>
  </si>
  <si>
    <t>81.6/78.6</t>
  </si>
  <si>
    <t>64.8/57.6</t>
  </si>
  <si>
    <t>60.8/55.4</t>
  </si>
  <si>
    <t>80.4/62.4</t>
  </si>
  <si>
    <t>37.9/30.4</t>
  </si>
  <si>
    <t>88.7/85.1</t>
  </si>
  <si>
    <t>83.3/80.7</t>
  </si>
  <si>
    <t>67.6/71.4</t>
  </si>
  <si>
    <t>47.3/47.4</t>
  </si>
  <si>
    <t>53.3/50.0</t>
  </si>
  <si>
    <t>83.9/81.0</t>
  </si>
  <si>
    <t>53.5/50.8</t>
  </si>
  <si>
    <t>SWAMPSCOTT</t>
  </si>
  <si>
    <t>TAUNTON</t>
  </si>
  <si>
    <t>TEWKSBURY</t>
  </si>
  <si>
    <t>TOPSFIELD</t>
  </si>
  <si>
    <t>29,197</t>
  </si>
  <si>
    <t>6,852</t>
  </si>
  <si>
    <t>17,504</t>
  </si>
  <si>
    <t>78.3/72.8</t>
  </si>
  <si>
    <t>81.4/78.8</t>
  </si>
  <si>
    <t>78.1/74.1</t>
  </si>
  <si>
    <t>SAT Verbal/Math</t>
  </si>
  <si>
    <t>Grade 10 MCAS English/Math</t>
  </si>
  <si>
    <t>$314,900</t>
  </si>
  <si>
    <t>$532,750</t>
  </si>
  <si>
    <t>$322,650</t>
  </si>
  <si>
    <t>WESTON</t>
  </si>
  <si>
    <t>WESTWOOD</t>
  </si>
  <si>
    <t>$305,000</t>
  </si>
  <si>
    <t>$289,000</t>
  </si>
  <si>
    <t>509/521</t>
  </si>
  <si>
    <t>479/486</t>
  </si>
  <si>
    <t>381/387</t>
  </si>
  <si>
    <t>MAYNARD</t>
  </si>
  <si>
    <t>464/477</t>
  </si>
  <si>
    <t>516/514</t>
  </si>
  <si>
    <t>453/461</t>
  </si>
  <si>
    <t>518/540</t>
  </si>
  <si>
    <t>485/514</t>
  </si>
  <si>
    <t>Percent of Population Nonwhite</t>
  </si>
  <si>
    <t>Percent College Bound</t>
  </si>
  <si>
    <t>Percent Open Space</t>
  </si>
  <si>
    <t>WATERTOWN</t>
  </si>
  <si>
    <t>WAYLAND</t>
  </si>
  <si>
    <t>WELLESLEY</t>
  </si>
  <si>
    <t>WENHAM</t>
  </si>
  <si>
    <t>12,156</t>
  </si>
  <si>
    <t>72,451</t>
  </si>
  <si>
    <t>30,663</t>
  </si>
  <si>
    <t>8,111</t>
  </si>
  <si>
    <t>8,523</t>
  </si>
  <si>
    <t>Students Per Teacher</t>
  </si>
  <si>
    <t>moderate</t>
  </si>
  <si>
    <t>high</t>
  </si>
  <si>
    <t>low</t>
  </si>
  <si>
    <t>-</t>
  </si>
  <si>
    <t>Grade 4 MCAS English/Math</t>
  </si>
  <si>
    <t>95.3/92.5</t>
  </si>
  <si>
    <t>83.8/77.7</t>
  </si>
  <si>
    <t>90.9/85.5</t>
  </si>
  <si>
    <t>33,997</t>
  </si>
  <si>
    <t>34,913</t>
  </si>
  <si>
    <t>13,733</t>
  </si>
  <si>
    <t>7,307</t>
  </si>
  <si>
    <t>17,028</t>
  </si>
  <si>
    <t>25,446</t>
  </si>
  <si>
    <t>23,378</t>
  </si>
  <si>
    <t>5,669</t>
  </si>
  <si>
    <t>28,828</t>
  </si>
  <si>
    <t>WEYMOUTH</t>
  </si>
  <si>
    <t>3,326</t>
  </si>
  <si>
    <t>37,772</t>
  </si>
  <si>
    <t>16,401</t>
  </si>
  <si>
    <t>66,827</t>
  </si>
  <si>
    <t>29,958</t>
  </si>
  <si>
    <t>7,717</t>
  </si>
  <si>
    <t>$527,000</t>
  </si>
  <si>
    <t>$377,300</t>
  </si>
  <si>
    <t>$363,000</t>
  </si>
  <si>
    <t>$366,150</t>
  </si>
  <si>
    <t>$411,000</t>
  </si>
  <si>
    <t>$526,200</t>
  </si>
  <si>
    <t>$750,000</t>
  </si>
  <si>
    <t>$565,000</t>
  </si>
  <si>
    <t>$289,900</t>
  </si>
  <si>
    <t>6,093</t>
  </si>
  <si>
    <t>59,634</t>
  </si>
  <si>
    <t>20,221</t>
  </si>
  <si>
    <t>10,877</t>
  </si>
  <si>
    <t>13,989</t>
  </si>
  <si>
    <t>13,930</t>
  </si>
  <si>
    <t>18,336</t>
  </si>
  <si>
    <t>11,347</t>
  </si>
  <si>
    <t>13,270</t>
  </si>
  <si>
    <t>3,261</t>
  </si>
  <si>
    <t>310</t>
  </si>
  <si>
    <t>98</t>
  </si>
  <si>
    <t>3,660</t>
  </si>
  <si>
    <t>3,576</t>
  </si>
  <si>
    <t>176</t>
  </si>
  <si>
    <t>322</t>
  </si>
  <si>
    <t>265</t>
  </si>
  <si>
    <t>526</t>
  </si>
  <si>
    <t>254</t>
  </si>
  <si>
    <t>90</t>
  </si>
  <si>
    <t>1,317</t>
  </si>
  <si>
    <t>70</t>
  </si>
  <si>
    <t>14,578</t>
  </si>
  <si>
    <t>13,501</t>
  </si>
  <si>
    <t>22,698</t>
  </si>
  <si>
    <t>$319,900</t>
  </si>
  <si>
    <t>$229,900</t>
  </si>
  <si>
    <t>$850,000</t>
  </si>
  <si>
    <t>$407,000</t>
  </si>
  <si>
    <t>$320,000</t>
  </si>
  <si>
    <t>$203,250</t>
  </si>
  <si>
    <t>$218,000</t>
  </si>
  <si>
    <t>$244,750</t>
  </si>
  <si>
    <t>$466,250</t>
  </si>
  <si>
    <t>$620,000</t>
  </si>
  <si>
    <t>$482,500</t>
  </si>
  <si>
    <t>$341,150</t>
  </si>
  <si>
    <t>$290,250</t>
  </si>
  <si>
    <t>$475,000</t>
  </si>
  <si>
    <t>$301,000</t>
  </si>
  <si>
    <t>$269,900</t>
  </si>
  <si>
    <t>205</t>
  </si>
  <si>
    <t>57</t>
  </si>
  <si>
    <t>821</t>
  </si>
  <si>
    <t>288</t>
  </si>
  <si>
    <t>247</t>
  </si>
  <si>
    <t>1,035</t>
  </si>
  <si>
    <t>188</t>
  </si>
  <si>
    <t>856</t>
  </si>
  <si>
    <t>53</t>
  </si>
  <si>
    <t>128</t>
  </si>
  <si>
    <t>$223,000</t>
  </si>
  <si>
    <t>$677,500</t>
  </si>
  <si>
    <t>$659,900</t>
  </si>
  <si>
    <t>$354,900</t>
  </si>
  <si>
    <t>$509,000</t>
  </si>
  <si>
    <t>$675,000</t>
  </si>
  <si>
    <t>$400,000</t>
  </si>
  <si>
    <t>$375,000</t>
  </si>
  <si>
    <t>$345,000</t>
  </si>
  <si>
    <t>$505,000</t>
  </si>
  <si>
    <t>$370,000</t>
  </si>
  <si>
    <t>$530,000</t>
  </si>
  <si>
    <t>$636,500</t>
  </si>
  <si>
    <t>$369,900</t>
  </si>
  <si>
    <t>$365,000</t>
  </si>
  <si>
    <t>91.9/88.0</t>
  </si>
  <si>
    <t>89.3/80.1</t>
  </si>
  <si>
    <t>85.4/74.5</t>
  </si>
  <si>
    <t>89.1/84.9</t>
  </si>
  <si>
    <t>83.0/77.1</t>
  </si>
  <si>
    <t>91.7/86.3</t>
  </si>
  <si>
    <t>89.3/82.0</t>
  </si>
  <si>
    <t>88.4/78.8</t>
  </si>
  <si>
    <t>95.9/93.8</t>
  </si>
  <si>
    <t>76.1/71.4</t>
  </si>
  <si>
    <t>91.0/83.7</t>
  </si>
  <si>
    <t>88.2/81.5</t>
  </si>
  <si>
    <t>88.1/78.7</t>
  </si>
  <si>
    <t>92.7/85.9</t>
  </si>
  <si>
    <t>84.7/75.1</t>
  </si>
  <si>
    <t>78.6/71.9</t>
  </si>
  <si>
    <t>85.3/82.6</t>
  </si>
  <si>
    <t>82.7/74.7</t>
  </si>
  <si>
    <t>57.1/45.9</t>
  </si>
  <si>
    <t>93.5/89.2</t>
  </si>
  <si>
    <t>87.1/74.3</t>
  </si>
  <si>
    <t>81.9/76.0</t>
  </si>
  <si>
    <t>63.4/57.3</t>
  </si>
  <si>
    <t>CHELMSFORD</t>
  </si>
  <si>
    <t>CHELSEA</t>
  </si>
  <si>
    <t>CLINTON</t>
  </si>
  <si>
    <t>COHASSET</t>
  </si>
  <si>
    <t>CONCORD</t>
  </si>
  <si>
    <t>DANVERS</t>
  </si>
  <si>
    <t>DEDHAM</t>
  </si>
  <si>
    <t>DOVER</t>
  </si>
  <si>
    <t>DRACUT</t>
  </si>
  <si>
    <t>DUXBURY</t>
  </si>
  <si>
    <t>92.9/85.3</t>
  </si>
  <si>
    <t>81.5/71.4</t>
  </si>
  <si>
    <t>87.0/79.8</t>
  </si>
  <si>
    <t>88.0/77.6</t>
  </si>
  <si>
    <t>FOXBOROUGH</t>
  </si>
  <si>
    <t>FRAMINGHAM</t>
  </si>
  <si>
    <t>FRANKLIN</t>
  </si>
  <si>
    <t>GEORGETOWN</t>
  </si>
  <si>
    <t>GLOUCESTER</t>
  </si>
  <si>
    <t>GROVELAND</t>
  </si>
  <si>
    <t>HALIFAX</t>
  </si>
  <si>
    <t>HAMILTON</t>
  </si>
  <si>
    <t>HANOVER</t>
  </si>
  <si>
    <t>HANSON</t>
  </si>
  <si>
    <t>HARVARD</t>
  </si>
  <si>
    <t>HAVERHILL</t>
  </si>
  <si>
    <t>HINGHAM</t>
  </si>
  <si>
    <t>HOLBROOK</t>
  </si>
  <si>
    <t>Culture and Recreation Spending (Per Capita)</t>
  </si>
  <si>
    <t>$440,000</t>
  </si>
  <si>
    <t>$354,000</t>
  </si>
  <si>
    <t>$319,500</t>
  </si>
  <si>
    <t>Population Density (Per Square Mile)</t>
  </si>
  <si>
    <t>$413,500</t>
  </si>
  <si>
    <t>$355,000</t>
  </si>
  <si>
    <t>$317,000</t>
  </si>
  <si>
    <t>$479,500</t>
  </si>
  <si>
    <t>$395,000</t>
  </si>
  <si>
    <t>$339,900</t>
  </si>
  <si>
    <t>521/533</t>
  </si>
  <si>
    <t>529/538</t>
  </si>
  <si>
    <t>517/516</t>
  </si>
  <si>
    <t>LITTLETON</t>
  </si>
  <si>
    <t>LOWELL</t>
  </si>
  <si>
    <t>$430,000</t>
  </si>
  <si>
    <t>$691,400</t>
  </si>
  <si>
    <t>$470,000</t>
  </si>
  <si>
    <t>$500,000</t>
  </si>
  <si>
    <t>$330,500</t>
  </si>
  <si>
    <t>$416,250</t>
  </si>
  <si>
    <t>$347,500</t>
  </si>
  <si>
    <t>$325,450</t>
  </si>
  <si>
    <t>$392,000</t>
  </si>
  <si>
    <t>$353,250</t>
  </si>
  <si>
    <t>$312,000</t>
  </si>
  <si>
    <t>$418,750</t>
  </si>
  <si>
    <t>$304,950</t>
  </si>
  <si>
    <t>14</t>
  </si>
  <si>
    <t>17</t>
  </si>
  <si>
    <t>43</t>
  </si>
  <si>
    <t>76</t>
  </si>
  <si>
    <t>59</t>
  </si>
  <si>
    <t>120</t>
  </si>
  <si>
    <t>7</t>
  </si>
  <si>
    <t>131</t>
  </si>
  <si>
    <t>221</t>
  </si>
  <si>
    <t>41</t>
  </si>
  <si>
    <t>52</t>
  </si>
  <si>
    <t>268</t>
  </si>
  <si>
    <t>$399,950</t>
  </si>
  <si>
    <t>$407,500</t>
  </si>
  <si>
    <t>$405,000</t>
  </si>
  <si>
    <t>$415,750</t>
  </si>
  <si>
    <t>$609,000</t>
  </si>
  <si>
    <t>114</t>
  </si>
  <si>
    <t>488</t>
  </si>
  <si>
    <t>1,184</t>
  </si>
  <si>
    <t>940</t>
  </si>
  <si>
    <t>1,989</t>
  </si>
  <si>
    <t>481</t>
  </si>
  <si>
    <t>163</t>
  </si>
  <si>
    <t>1,490</t>
  </si>
  <si>
    <t>207</t>
  </si>
  <si>
    <t>1,188</t>
  </si>
  <si>
    <t>242</t>
  </si>
  <si>
    <t>1,270</t>
  </si>
  <si>
    <t>$360,000</t>
  </si>
  <si>
    <t>167</t>
  </si>
  <si>
    <t>4</t>
  </si>
  <si>
    <t>66</t>
  </si>
  <si>
    <t>297</t>
  </si>
  <si>
    <t>56</t>
  </si>
  <si>
    <t>592</t>
  </si>
  <si>
    <t>850</t>
  </si>
  <si>
    <t>965</t>
  </si>
  <si>
    <t>126</t>
  </si>
  <si>
    <t>44</t>
  </si>
  <si>
    <t>96</t>
  </si>
  <si>
    <t>13</t>
  </si>
  <si>
    <t>97</t>
  </si>
  <si>
    <t>198</t>
  </si>
  <si>
    <t>345</t>
  </si>
  <si>
    <t>133</t>
  </si>
  <si>
    <t>147</t>
  </si>
  <si>
    <t>382</t>
  </si>
  <si>
    <t>273</t>
  </si>
  <si>
    <t>159</t>
  </si>
  <si>
    <t>897</t>
  </si>
  <si>
    <t>$279,000</t>
  </si>
  <si>
    <t>$445,250</t>
  </si>
  <si>
    <t>91/84</t>
  </si>
  <si>
    <t>85/81</t>
  </si>
  <si>
    <t>85/76</t>
  </si>
  <si>
    <t>82/75</t>
  </si>
  <si>
    <t>90/83</t>
  </si>
  <si>
    <t>93/90</t>
  </si>
  <si>
    <t>80/79</t>
  </si>
  <si>
    <t>98/97</t>
  </si>
  <si>
    <t>88/83</t>
  </si>
  <si>
    <t>93/86</t>
  </si>
  <si>
    <t>84/85</t>
  </si>
  <si>
    <t>89/88</t>
  </si>
  <si>
    <t>96/94</t>
  </si>
  <si>
    <t>78/71</t>
  </si>
  <si>
    <t>71/65</t>
  </si>
  <si>
    <t>94/86</t>
  </si>
  <si>
    <t>57/50</t>
  </si>
  <si>
    <t>92/92</t>
  </si>
  <si>
    <t>82/72</t>
  </si>
  <si>
    <t>90/86</t>
  </si>
  <si>
    <t>96/92</t>
  </si>
  <si>
    <t>95/96</t>
  </si>
  <si>
    <t>79/69</t>
  </si>
  <si>
    <t>84/75</t>
  </si>
  <si>
    <t>3,946</t>
  </si>
  <si>
    <t>253</t>
  </si>
  <si>
    <t>129</t>
  </si>
  <si>
    <t>588</t>
  </si>
  <si>
    <t>1,050</t>
  </si>
  <si>
    <t>105</t>
  </si>
  <si>
    <t>$549,500</t>
  </si>
  <si>
    <t>$279,500</t>
  </si>
  <si>
    <t>$437,000</t>
  </si>
  <si>
    <t>$630,125</t>
  </si>
  <si>
    <t>$439,000</t>
  </si>
  <si>
    <t>HOPKINTON</t>
  </si>
  <si>
    <t>HUDSON</t>
  </si>
  <si>
    <t>HULL</t>
  </si>
  <si>
    <t>IPSWICH</t>
  </si>
  <si>
    <t>KINGSTON</t>
  </si>
  <si>
    <t>LAWRENCE</t>
  </si>
  <si>
    <t>LEXINGTON</t>
  </si>
  <si>
    <t>PEABODY</t>
  </si>
  <si>
    <t>PEMBROKE</t>
  </si>
  <si>
    <t>PLAINVILLE</t>
  </si>
  <si>
    <t>PLYMOUTH</t>
  </si>
  <si>
    <t>PLYMPTON</t>
  </si>
  <si>
    <t>QUINCY</t>
  </si>
  <si>
    <t>RANDOLPH</t>
  </si>
  <si>
    <t>RAYNHAM</t>
  </si>
  <si>
    <t>READING</t>
  </si>
  <si>
    <t>REVERE</t>
  </si>
  <si>
    <t>ROCKLAND</t>
  </si>
  <si>
    <t>ROCKPORT</t>
  </si>
  <si>
    <t>ROWLEY</t>
  </si>
  <si>
    <t>SALEM</t>
  </si>
  <si>
    <t>SALISBURY</t>
  </si>
  <si>
    <t>SAUGUS</t>
  </si>
  <si>
    <t>SCITUATE</t>
  </si>
  <si>
    <t>SHARON</t>
  </si>
  <si>
    <t>SHERBORN</t>
  </si>
  <si>
    <t>SHREWSBURY</t>
  </si>
  <si>
    <t>SOMERVILLE</t>
  </si>
  <si>
    <t>SOUTHBOROUGH</t>
  </si>
  <si>
    <t>STONEHAM</t>
  </si>
  <si>
    <t>STOUGHTON</t>
  </si>
  <si>
    <t>STOW</t>
  </si>
  <si>
    <t>SUDBURY</t>
  </si>
  <si>
    <t>MEDFORD</t>
  </si>
  <si>
    <t>MEDWAY</t>
  </si>
  <si>
    <t>MELROSE</t>
  </si>
  <si>
    <t>MERRIMAC</t>
  </si>
  <si>
    <t>METHUEN</t>
  </si>
  <si>
    <t>MIDDLEBOROUGH</t>
  </si>
  <si>
    <t>MIDDLETON</t>
  </si>
  <si>
    <t>MILFORD</t>
  </si>
  <si>
    <t>MILLIS</t>
  </si>
  <si>
    <t>MILTON</t>
  </si>
  <si>
    <t>NEEDHAM</t>
  </si>
  <si>
    <t>NEWBURY</t>
  </si>
  <si>
    <t>Daycare Providers</t>
  </si>
  <si>
    <t>83,880</t>
  </si>
  <si>
    <t>10,500</t>
  </si>
  <si>
    <t>27,837</t>
  </si>
  <si>
    <t>Per-Pupil Spending</t>
  </si>
  <si>
    <t>530/512</t>
  </si>
  <si>
    <t>529/525</t>
  </si>
  <si>
    <t>$399,675</t>
  </si>
  <si>
    <t>$397,450</t>
  </si>
  <si>
    <t>$567,500</t>
  </si>
  <si>
    <t>$876,738</t>
  </si>
  <si>
    <t>$524,300</t>
  </si>
  <si>
    <t>$320,750</t>
  </si>
  <si>
    <t>$462,000</t>
  </si>
  <si>
    <t>$457,000</t>
  </si>
  <si>
    <t>$1,202,500</t>
  </si>
  <si>
    <t>$295,000</t>
  </si>
  <si>
    <t>444/467</t>
  </si>
  <si>
    <t>494/461</t>
  </si>
  <si>
    <t>548/552</t>
  </si>
  <si>
    <t>30,664</t>
  </si>
  <si>
    <t>6,220</t>
  </si>
  <si>
    <t>7,733</t>
  </si>
  <si>
    <t>8,420</t>
  </si>
  <si>
    <t>13,596</t>
  </si>
  <si>
    <t>9,827</t>
  </si>
  <si>
    <t>WAKEFIELD</t>
  </si>
  <si>
    <t>WALPOLE</t>
  </si>
  <si>
    <t>WALTHAM</t>
  </si>
  <si>
    <t>NEWBURYPORT</t>
  </si>
  <si>
    <t>NEWTON</t>
  </si>
  <si>
    <t>15,255</t>
  </si>
  <si>
    <t>104,901</t>
  </si>
  <si>
    <t>89,590</t>
  </si>
  <si>
    <t>11,660</t>
  </si>
  <si>
    <t>20,832</t>
  </si>
  <si>
    <t>16,680</t>
  </si>
  <si>
    <t>31,818</t>
  </si>
  <si>
    <t>42,140</t>
  </si>
  <si>
    <t>15,392</t>
  </si>
  <si>
    <t>43,164</t>
  </si>
  <si>
    <t>4,449</t>
  </si>
  <si>
    <t>12,647</t>
  </si>
  <si>
    <t>24,045</t>
  </si>
  <si>
    <t>2,567</t>
  </si>
  <si>
    <t>40,235</t>
  </si>
  <si>
    <t>39,453</t>
  </si>
  <si>
    <t>4,268</t>
  </si>
  <si>
    <t>589,281</t>
  </si>
  <si>
    <t>4,937</t>
  </si>
  <si>
    <t>8,179</t>
  </si>
  <si>
    <t>4,109</t>
  </si>
  <si>
    <t>33,917</t>
  </si>
  <si>
    <t>25,620</t>
  </si>
  <si>
    <t>95,437</t>
  </si>
  <si>
    <t>57,032</t>
  </si>
  <si>
    <t>22,923</t>
  </si>
  <si>
    <t>101,807</t>
  </si>
  <si>
    <t>21,341</t>
  </si>
  <si>
    <t>4,850</t>
  </si>
  <si>
    <t>11,467</t>
  </si>
  <si>
    <t>$386,000</t>
  </si>
  <si>
    <t>$416,125</t>
  </si>
  <si>
    <t>$1,071,875</t>
  </si>
  <si>
    <t>$483,900</t>
  </si>
  <si>
    <t>$669,000</t>
  </si>
  <si>
    <t>$340,500</t>
  </si>
  <si>
    <t>$331,000</t>
  </si>
  <si>
    <t>$342,500</t>
  </si>
  <si>
    <t>$754,500</t>
  </si>
  <si>
    <t>$264,000</t>
  </si>
  <si>
    <t>$550,000</t>
  </si>
  <si>
    <t>$290,000</t>
  </si>
  <si>
    <t>$359,900</t>
  </si>
  <si>
    <t>$354,500</t>
  </si>
  <si>
    <t>$324,500</t>
  </si>
  <si>
    <t>$368,900</t>
  </si>
  <si>
    <t>$344,250</t>
  </si>
  <si>
    <t>$337,450</t>
  </si>
  <si>
    <t>$472,250</t>
  </si>
  <si>
    <t>$282,500</t>
  </si>
  <si>
    <t>$504,900</t>
  </si>
  <si>
    <t>$272,400</t>
  </si>
  <si>
    <t>$580,000</t>
  </si>
  <si>
    <t>$260,000</t>
  </si>
  <si>
    <t>$351,750</t>
  </si>
  <si>
    <t>$455,050</t>
  </si>
  <si>
    <t>$293,500</t>
  </si>
  <si>
    <t>$323,500</t>
  </si>
  <si>
    <t>539/550</t>
  </si>
  <si>
    <t>447/476</t>
  </si>
  <si>
    <t>508/506</t>
  </si>
  <si>
    <t>Average Water Costs Per Year</t>
  </si>
  <si>
    <t>Average Sewage Costs Per Year</t>
  </si>
  <si>
    <t>Percent of Classrooms with Internet</t>
  </si>
  <si>
    <t>Number of  Students Per Computer</t>
  </si>
  <si>
    <t>Contami-nated Sites Per Square Mile</t>
  </si>
  <si>
    <t>Radon Hazard Levels</t>
  </si>
  <si>
    <t>Number of Violent Crimes</t>
  </si>
  <si>
    <t>Number of Property Crimes</t>
  </si>
  <si>
    <t>561/568</t>
  </si>
  <si>
    <t>522/521</t>
  </si>
  <si>
    <t>500/519</t>
  </si>
  <si>
    <t>604/606</t>
  </si>
  <si>
    <t>508/497</t>
  </si>
  <si>
    <t>537/550</t>
  </si>
  <si>
    <t>492/484</t>
  </si>
  <si>
    <t>515/523</t>
  </si>
  <si>
    <t>546/540</t>
  </si>
  <si>
    <t>460/466</t>
  </si>
  <si>
    <t>514/533</t>
  </si>
  <si>
    <t>543/542</t>
  </si>
  <si>
    <t>$372,250</t>
  </si>
  <si>
    <t>TOWN</t>
  </si>
  <si>
    <t>ABINGTON</t>
  </si>
  <si>
    <t>ACTON</t>
  </si>
  <si>
    <t>$350,500</t>
  </si>
  <si>
    <t>$250,000</t>
  </si>
  <si>
    <t>$975,000</t>
  </si>
  <si>
    <t>$393,500</t>
  </si>
  <si>
    <t>$615,000</t>
  </si>
  <si>
    <t>$445,000</t>
  </si>
  <si>
    <t>$730,000</t>
  </si>
  <si>
    <t>$350,000</t>
  </si>
  <si>
    <t>$234,500</t>
  </si>
  <si>
    <t>$682,500</t>
  </si>
  <si>
    <t>$709,563</t>
  </si>
  <si>
    <t>BOXBOROUGH</t>
  </si>
  <si>
    <t>BOXFORD</t>
  </si>
  <si>
    <t>BOYLSTON</t>
  </si>
  <si>
    <t>BRAINTREE</t>
  </si>
  <si>
    <t>BRIDGEWATER</t>
  </si>
  <si>
    <t>BROCKTON</t>
  </si>
  <si>
    <t>BROOKLINE</t>
  </si>
  <si>
    <t>BURLINGTON</t>
  </si>
  <si>
    <t>CAMBRIDGE</t>
  </si>
  <si>
    <t>CANTON</t>
  </si>
  <si>
    <t>CARLISLE</t>
  </si>
  <si>
    <t>CARVER</t>
  </si>
  <si>
    <t xml:space="preserve">Avg. Teacher Salary </t>
  </si>
  <si>
    <t xml:space="preserve">Dropout Rate Percent </t>
  </si>
  <si>
    <t>Police and Fire Spending (Per Capita)</t>
  </si>
  <si>
    <t>Percent of Population with Cancer</t>
  </si>
  <si>
    <t>Percent of Population with Heart Disease</t>
  </si>
  <si>
    <t>EAST BRIDGEWATER</t>
  </si>
  <si>
    <t>EASTON</t>
  </si>
  <si>
    <t>ESSEX</t>
  </si>
  <si>
    <t>EVERETT</t>
  </si>
  <si>
    <t>$525,000</t>
  </si>
  <si>
    <t>$469,000</t>
  </si>
  <si>
    <t>$385,000</t>
  </si>
  <si>
    <t>$281,250</t>
  </si>
  <si>
    <t>$469,275</t>
  </si>
  <si>
    <t>$300,000</t>
  </si>
  <si>
    <t>$485,000</t>
  </si>
  <si>
    <t>$268,000</t>
  </si>
  <si>
    <t>$644,500</t>
  </si>
  <si>
    <t>$293,000</t>
  </si>
  <si>
    <t>$311,000</t>
  </si>
  <si>
    <t>$884,000</t>
  </si>
  <si>
    <t>$287,500</t>
  </si>
  <si>
    <t>$602,500</t>
  </si>
  <si>
    <t>HOLLISTON</t>
  </si>
  <si>
    <t>$325,000</t>
  </si>
  <si>
    <t>$380,000</t>
  </si>
  <si>
    <t>$358,000</t>
  </si>
  <si>
    <t>$349,950</t>
  </si>
  <si>
    <t>WEST BRIDGEWATER</t>
  </si>
  <si>
    <t>WEST NEWBURY</t>
  </si>
  <si>
    <t>WESTBOROUGH</t>
  </si>
  <si>
    <t>WESTFORD</t>
  </si>
  <si>
    <t>556/574</t>
  </si>
  <si>
    <t>$322,250</t>
  </si>
  <si>
    <t>$585,000</t>
  </si>
  <si>
    <t>$299,900</t>
  </si>
  <si>
    <t>$612,500</t>
  </si>
  <si>
    <t>$298,000</t>
  </si>
  <si>
    <t>$404,200</t>
  </si>
  <si>
    <t>$497,500</t>
  </si>
  <si>
    <t>$330,000</t>
  </si>
  <si>
    <t>$349,500</t>
  </si>
  <si>
    <t>$450,000</t>
  </si>
  <si>
    <t>$230,000</t>
  </si>
  <si>
    <t>$650,000</t>
  </si>
  <si>
    <t>$924,750</t>
  </si>
  <si>
    <t>$248,900</t>
  </si>
  <si>
    <t>$265,000</t>
  </si>
  <si>
    <t>$494,900</t>
  </si>
  <si>
    <t>$333,950</t>
  </si>
  <si>
    <t>$561,000</t>
  </si>
  <si>
    <t>$375,250</t>
  </si>
  <si>
    <t>$527,250</t>
  </si>
  <si>
    <t>$324,950</t>
  </si>
  <si>
    <t>$395,038</t>
  </si>
  <si>
    <t>$522,000</t>
  </si>
  <si>
    <t>$383,950</t>
  </si>
  <si>
    <t>88/86</t>
  </si>
  <si>
    <t>88/81</t>
  </si>
  <si>
    <t>83/79</t>
  </si>
  <si>
    <t>97/94</t>
  </si>
  <si>
    <t>97/96</t>
  </si>
  <si>
    <t>94/88</t>
  </si>
  <si>
    <t>95/90</t>
  </si>
  <si>
    <t>97/95</t>
  </si>
  <si>
    <t>96/96</t>
  </si>
  <si>
    <t>95/94</t>
  </si>
  <si>
    <t>86/78</t>
  </si>
  <si>
    <t>92/88</t>
  </si>
  <si>
    <t>92/87</t>
  </si>
  <si>
    <t>76/73</t>
  </si>
  <si>
    <t>89/82</t>
  </si>
  <si>
    <t>94/91</t>
  </si>
  <si>
    <t>70/69</t>
  </si>
  <si>
    <t>95/93</t>
  </si>
  <si>
    <t>98/96</t>
  </si>
  <si>
    <t>96/95</t>
  </si>
  <si>
    <t>85/79</t>
  </si>
  <si>
    <t>86/83</t>
  </si>
  <si>
    <t>77/75</t>
  </si>
  <si>
    <t>94/92</t>
  </si>
  <si>
    <t>80/72</t>
  </si>
  <si>
    <t>93/91</t>
  </si>
  <si>
    <t>87/82</t>
  </si>
  <si>
    <t>82/76</t>
  </si>
  <si>
    <t>83/81</t>
  </si>
  <si>
    <t>85/77</t>
  </si>
  <si>
    <t>82/78</t>
  </si>
  <si>
    <t>91/83</t>
  </si>
  <si>
    <t>90/77</t>
  </si>
  <si>
    <t>96/86</t>
  </si>
  <si>
    <t>90/87</t>
  </si>
  <si>
    <t>93/88</t>
  </si>
  <si>
    <t>91/88</t>
  </si>
  <si>
    <t>BOSTON</t>
  </si>
  <si>
    <t>$348,450</t>
  </si>
  <si>
    <t>$434,500</t>
  </si>
  <si>
    <t>$377,450</t>
  </si>
  <si>
    <t>$637,750</t>
  </si>
  <si>
    <t>Median Household Income</t>
  </si>
  <si>
    <t>156</t>
  </si>
  <si>
    <t>5</t>
  </si>
  <si>
    <t>94</t>
  </si>
  <si>
    <t>20</t>
  </si>
  <si>
    <t>61</t>
  </si>
  <si>
    <t>9</t>
  </si>
  <si>
    <t>1</t>
  </si>
  <si>
    <t>15</t>
  </si>
  <si>
    <t>3</t>
  </si>
  <si>
    <t>91</t>
  </si>
  <si>
    <t>6</t>
  </si>
  <si>
    <t>7,362</t>
  </si>
  <si>
    <t>0</t>
  </si>
  <si>
    <t>2</t>
  </si>
  <si>
    <t>81</t>
  </si>
  <si>
    <t>21</t>
  </si>
  <si>
    <t>1,055</t>
  </si>
  <si>
    <t>151</t>
  </si>
  <si>
    <t>16</t>
  </si>
  <si>
    <t>470</t>
  </si>
  <si>
    <t>890</t>
  </si>
  <si>
    <t>8</t>
  </si>
  <si>
    <t>12</t>
  </si>
  <si>
    <t>68</t>
  </si>
  <si>
    <t>11</t>
  </si>
  <si>
    <t>241</t>
  </si>
  <si>
    <t>312</t>
  </si>
  <si>
    <t>1,147</t>
  </si>
  <si>
    <t>483</t>
  </si>
  <si>
    <t>64</t>
  </si>
  <si>
    <t>206</t>
  </si>
  <si>
    <t>537/540</t>
  </si>
  <si>
    <t>520/511</t>
  </si>
  <si>
    <t>558/587</t>
  </si>
  <si>
    <t>474/482</t>
  </si>
  <si>
    <t>$299,999</t>
  </si>
  <si>
    <t>$294,900</t>
  </si>
  <si>
    <t>79.9/71.8</t>
  </si>
  <si>
    <t>Superfund Sites</t>
  </si>
  <si>
    <t>Percent Political Participation</t>
  </si>
  <si>
    <t>$315,000</t>
  </si>
  <si>
    <t>$390,000</t>
  </si>
  <si>
    <t>$495,000</t>
  </si>
  <si>
    <t>$332,000</t>
  </si>
  <si>
    <t>$389,900</t>
  </si>
  <si>
    <t>$361,900</t>
  </si>
  <si>
    <t>$399,900</t>
  </si>
  <si>
    <t>526/535</t>
  </si>
  <si>
    <t>537/541</t>
  </si>
  <si>
    <t>561/557</t>
  </si>
  <si>
    <t>540/529</t>
  </si>
  <si>
    <t>507/507</t>
  </si>
  <si>
    <t>LINCOLN</t>
  </si>
  <si>
    <t>77</t>
  </si>
  <si>
    <t>179</t>
  </si>
  <si>
    <t>882</t>
  </si>
  <si>
    <t>656</t>
  </si>
  <si>
    <t>405</t>
  </si>
  <si>
    <t>LYNN</t>
  </si>
  <si>
    <t>LYNNFIELD</t>
  </si>
  <si>
    <t>MALDEN</t>
  </si>
  <si>
    <t>MANCHESTER-BY-THE-SEA</t>
  </si>
  <si>
    <t>MANSFIELD</t>
  </si>
  <si>
    <t>MARBLEHEAD</t>
  </si>
  <si>
    <t>MARLBOROUGH</t>
  </si>
  <si>
    <t>MARSHFIELD</t>
  </si>
  <si>
    <t>MEDFIELD</t>
  </si>
  <si>
    <t>505/495</t>
  </si>
  <si>
    <t>567/588</t>
  </si>
  <si>
    <t>517/508</t>
  </si>
  <si>
    <t>536/559</t>
  </si>
  <si>
    <t>555/570</t>
  </si>
  <si>
    <t>610/623</t>
  </si>
  <si>
    <t>580/601</t>
  </si>
  <si>
    <t>533/533</t>
  </si>
  <si>
    <t>454/476</t>
  </si>
  <si>
    <t>420/439</t>
  </si>
  <si>
    <t>546/556</t>
  </si>
  <si>
    <t>445/477</t>
  </si>
  <si>
    <t>540/570</t>
  </si>
  <si>
    <t>557/556</t>
  </si>
  <si>
    <t>511/510</t>
  </si>
  <si>
    <t>560/568</t>
  </si>
  <si>
    <t>531/526</t>
  </si>
  <si>
    <t>519/513</t>
  </si>
  <si>
    <t>483/489</t>
  </si>
  <si>
    <t>95/95</t>
  </si>
  <si>
    <t>90/81</t>
  </si>
  <si>
    <t>92/85</t>
  </si>
  <si>
    <t>94/94</t>
  </si>
  <si>
    <t>87/84</t>
  </si>
  <si>
    <t>94/90</t>
  </si>
  <si>
    <t>81/78</t>
  </si>
  <si>
    <t>85/78</t>
  </si>
  <si>
    <t>93/92</t>
  </si>
  <si>
    <t>96/93</t>
  </si>
  <si>
    <t>97/87</t>
  </si>
  <si>
    <t>85/85</t>
  </si>
  <si>
    <t>89/86</t>
  </si>
  <si>
    <t>95/92</t>
  </si>
  <si>
    <t>68/67</t>
  </si>
  <si>
    <t>92/90</t>
  </si>
  <si>
    <t>95/91</t>
  </si>
  <si>
    <t>87/83</t>
  </si>
  <si>
    <t>85/73</t>
  </si>
  <si>
    <t>AMESBURY</t>
  </si>
  <si>
    <t>ANDOVER</t>
  </si>
  <si>
    <t>ARLINGTON</t>
  </si>
  <si>
    <t>ASHLAND</t>
  </si>
  <si>
    <t>ATTLEBORO</t>
  </si>
  <si>
    <t>AVON</t>
  </si>
  <si>
    <t>BEDFORD</t>
  </si>
  <si>
    <t>BELMONT</t>
  </si>
  <si>
    <t>BERLIN</t>
  </si>
  <si>
    <t>BEVERLY</t>
  </si>
  <si>
    <t>BILLERICA</t>
  </si>
  <si>
    <t>BOLTON</t>
  </si>
  <si>
    <t>$474,000</t>
  </si>
  <si>
    <t>$347,050</t>
  </si>
  <si>
    <t>$329,000</t>
  </si>
  <si>
    <t>$338,500</t>
  </si>
  <si>
    <t>$322,500</t>
  </si>
  <si>
    <t>$278,000</t>
  </si>
  <si>
    <t>$285,500</t>
  </si>
  <si>
    <t>$389,000</t>
  </si>
  <si>
    <t>$286,000</t>
  </si>
  <si>
    <t>$276,200</t>
  </si>
  <si>
    <t>$415,000</t>
  </si>
  <si>
    <t>$442,500</t>
  </si>
  <si>
    <t>$402,500</t>
  </si>
  <si>
    <t>$689,000</t>
  </si>
  <si>
    <t>$357,950</t>
  </si>
  <si>
    <t>$502,500</t>
  </si>
  <si>
    <t>$417,500</t>
  </si>
  <si>
    <t>$586,250</t>
  </si>
  <si>
    <t>$404,000</t>
  </si>
  <si>
    <t>$254,450</t>
  </si>
  <si>
    <t>137</t>
  </si>
  <si>
    <t>491</t>
  </si>
  <si>
    <t>1,972</t>
  </si>
  <si>
    <t>428</t>
  </si>
  <si>
    <t>113</t>
  </si>
  <si>
    <t>1,556</t>
  </si>
  <si>
    <t>522</t>
  </si>
  <si>
    <t>252</t>
  </si>
  <si>
    <t>277</t>
  </si>
  <si>
    <t>1,180</t>
  </si>
  <si>
    <t>602</t>
  </si>
  <si>
    <t>121</t>
  </si>
  <si>
    <t>302</t>
  </si>
  <si>
    <t>$492,500</t>
  </si>
  <si>
    <t>541/543</t>
  </si>
  <si>
    <t>586/597</t>
  </si>
  <si>
    <t>528/513</t>
  </si>
  <si>
    <t>529/546</t>
  </si>
  <si>
    <t>596/623</t>
  </si>
  <si>
    <t>544/539</t>
  </si>
  <si>
    <t>528/538</t>
  </si>
  <si>
    <t>519/529</t>
  </si>
  <si>
    <t>522/518</t>
  </si>
  <si>
    <t>554/583</t>
  </si>
  <si>
    <t>554/557</t>
  </si>
  <si>
    <t>505/510</t>
  </si>
  <si>
    <t>487/497</t>
  </si>
  <si>
    <t>516/526</t>
  </si>
  <si>
    <t>472/505</t>
  </si>
  <si>
    <t>470/480</t>
  </si>
  <si>
    <t>540/551</t>
  </si>
  <si>
    <t>505/515</t>
  </si>
  <si>
    <t>550/535</t>
  </si>
  <si>
    <t>473/479</t>
  </si>
  <si>
    <t>492/505</t>
  </si>
  <si>
    <t>572/585</t>
  </si>
  <si>
    <t>507/501</t>
  </si>
  <si>
    <t>503/497</t>
  </si>
  <si>
    <t>486/493</t>
  </si>
  <si>
    <t>542/538</t>
  </si>
  <si>
    <t>488/486</t>
  </si>
  <si>
    <t>527/507</t>
  </si>
  <si>
    <t>523/518</t>
  </si>
  <si>
    <t>537/534</t>
  </si>
  <si>
    <t>478/491</t>
  </si>
  <si>
    <t>497/514</t>
  </si>
  <si>
    <t>591/624</t>
  </si>
  <si>
    <t>592/600</t>
  </si>
  <si>
    <t>504/499</t>
  </si>
  <si>
    <t>560/584</t>
  </si>
  <si>
    <t>566/583</t>
  </si>
  <si>
    <t>615/629</t>
  </si>
  <si>
    <t>560/610</t>
  </si>
  <si>
    <t>$670,000</t>
  </si>
  <si>
    <t>$420,000</t>
  </si>
  <si>
    <t>Miles from Boston</t>
  </si>
  <si>
    <t>n/a</t>
  </si>
  <si>
    <t>28</t>
  </si>
  <si>
    <t>29</t>
  </si>
  <si>
    <t>33</t>
  </si>
  <si>
    <t>24</t>
  </si>
  <si>
    <t>22</t>
  </si>
  <si>
    <t>32</t>
  </si>
  <si>
    <t>36</t>
  </si>
  <si>
    <t>39</t>
  </si>
  <si>
    <t>25</t>
  </si>
  <si>
    <t>34</t>
  </si>
  <si>
    <t>37</t>
  </si>
  <si>
    <t>42</t>
  </si>
  <si>
    <t>83/74</t>
  </si>
  <si>
    <t>98/89</t>
  </si>
  <si>
    <t>86/85</t>
  </si>
  <si>
    <t>93/89</t>
  </si>
  <si>
    <t>90/82</t>
  </si>
  <si>
    <t>88/85</t>
  </si>
  <si>
    <t>90/85</t>
  </si>
  <si>
    <t>98/95</t>
  </si>
  <si>
    <t>60/58</t>
  </si>
  <si>
    <t>88/90</t>
  </si>
  <si>
    <t>72/69</t>
  </si>
  <si>
    <t>77/64</t>
  </si>
  <si>
    <t>471</t>
  </si>
  <si>
    <t>347</t>
  </si>
  <si>
    <t>204</t>
  </si>
  <si>
    <t>964</t>
  </si>
  <si>
    <t>123</t>
  </si>
  <si>
    <t>1,379</t>
  </si>
  <si>
    <t>118</t>
  </si>
  <si>
    <t>45</t>
  </si>
  <si>
    <t>707</t>
  </si>
  <si>
    <t>40</t>
  </si>
  <si>
    <t>89</t>
  </si>
  <si>
    <t>193</t>
  </si>
  <si>
    <t>136</t>
  </si>
  <si>
    <t>1,609</t>
  </si>
  <si>
    <t>229</t>
  </si>
  <si>
    <t>50</t>
  </si>
  <si>
    <t>225</t>
  </si>
  <si>
    <t>103</t>
  </si>
  <si>
    <t>173</t>
  </si>
  <si>
    <t>269</t>
  </si>
  <si>
    <t>$283,000</t>
  </si>
  <si>
    <t>$348,100</t>
  </si>
  <si>
    <t>$532,250</t>
  </si>
  <si>
    <t>501/478</t>
  </si>
  <si>
    <t>558/542</t>
  </si>
  <si>
    <t>518/531</t>
  </si>
  <si>
    <t>535/524</t>
  </si>
  <si>
    <t xml:space="preserve">Median Condo Price </t>
  </si>
  <si>
    <t>$180-$583</t>
  </si>
  <si>
    <t>$325-$445</t>
  </si>
  <si>
    <t>$146-$255</t>
  </si>
  <si>
    <t>Grade 8 MCAS Math-Science/Tech.-Engineering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</si>
</sst>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#,##0.0"/>
    <numFmt numFmtId="168" formatCode="0.0%"/>
    <numFmt numFmtId="169" formatCode="0_);\(0\)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 horizontal="center"/>
    </xf>
    <xf numFmtId="164" fontId="0" fillId="0" borderId="1" xfId="0" applyNumberFormat="1" applyFont="1" applyBorder="1" applyAlignment="1" quotePrefix="1">
      <alignment horizontal="center"/>
    </xf>
    <xf numFmtId="3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 horizontal="center"/>
    </xf>
    <xf numFmtId="3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 wrapText="1"/>
    </xf>
    <xf numFmtId="5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399"/>
  <sheetViews>
    <sheetView tabSelected="1" zoomScale="125" zoomScaleNormal="125" workbookViewId="0" topLeftCell="A1">
      <pane xSplit="1" ySplit="1" topLeftCell="O1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109" sqref="T109"/>
    </sheetView>
  </sheetViews>
  <sheetFormatPr defaultColWidth="11.421875" defaultRowHeight="12.75"/>
  <cols>
    <col min="1" max="1" width="23.140625" style="6" customWidth="1"/>
    <col min="2" max="2" width="13.421875" style="25" customWidth="1"/>
    <col min="3" max="3" width="10.00390625" style="25" customWidth="1"/>
    <col min="4" max="4" width="10.140625" style="23" customWidth="1"/>
    <col min="5" max="5" width="10.7109375" style="22" customWidth="1"/>
    <col min="6" max="6" width="10.421875" style="23" customWidth="1"/>
    <col min="7" max="7" width="10.00390625" style="23" customWidth="1"/>
    <col min="8" max="8" width="10.28125" style="23" customWidth="1"/>
    <col min="9" max="9" width="10.28125" style="32" customWidth="1"/>
    <col min="10" max="10" width="10.00390625" style="23" customWidth="1"/>
    <col min="11" max="11" width="9.140625" style="23" customWidth="1"/>
    <col min="12" max="12" width="9.00390625" style="23" customWidth="1"/>
    <col min="13" max="13" width="9.28125" style="22" customWidth="1"/>
    <col min="14" max="14" width="10.140625" style="22" customWidth="1"/>
    <col min="15" max="15" width="11.00390625" style="22" customWidth="1"/>
    <col min="16" max="16" width="9.140625" style="22" customWidth="1"/>
    <col min="17" max="17" width="9.28125" style="22" customWidth="1"/>
    <col min="18" max="18" width="9.8515625" style="23" customWidth="1"/>
    <col min="19" max="19" width="11.7109375" style="22" customWidth="1"/>
    <col min="20" max="20" width="13.140625" style="22" customWidth="1"/>
    <col min="21" max="21" width="11.7109375" style="25" customWidth="1"/>
    <col min="22" max="22" width="11.8515625" style="26" customWidth="1"/>
    <col min="23" max="23" width="8.8515625" style="22" customWidth="1"/>
    <col min="24" max="24" width="8.8515625" style="23" customWidth="1"/>
    <col min="25" max="25" width="8.8515625" style="22" customWidth="1"/>
    <col min="26" max="26" width="9.140625" style="27" customWidth="1"/>
    <col min="27" max="27" width="10.8515625" style="25" customWidth="1"/>
    <col min="28" max="28" width="9.7109375" style="25" customWidth="1"/>
    <col min="29" max="29" width="8.8515625" style="25" customWidth="1"/>
    <col min="30" max="30" width="8.140625" style="22" customWidth="1"/>
    <col min="31" max="31" width="10.421875" style="22" customWidth="1"/>
    <col min="32" max="32" width="8.00390625" style="28" customWidth="1"/>
    <col min="33" max="33" width="8.8515625" style="28" customWidth="1"/>
    <col min="34" max="34" width="10.00390625" style="25" customWidth="1"/>
    <col min="35" max="35" width="9.28125" style="25" customWidth="1"/>
    <col min="36" max="36" width="9.7109375" style="23" customWidth="1"/>
    <col min="37" max="37" width="11.8515625" style="23" customWidth="1"/>
    <col min="38" max="38" width="12.00390625" style="30" customWidth="1"/>
    <col min="39" max="40" width="10.421875" style="31" customWidth="1"/>
    <col min="41" max="16384" width="8.8515625" style="6" customWidth="1"/>
  </cols>
  <sheetData>
    <row r="1" spans="1:40" s="33" customFormat="1" ht="101.25" customHeight="1">
      <c r="A1" s="33" t="s">
        <v>810</v>
      </c>
      <c r="B1" s="34" t="s">
        <v>272</v>
      </c>
      <c r="C1" s="34" t="s">
        <v>274</v>
      </c>
      <c r="D1" s="35" t="s">
        <v>273</v>
      </c>
      <c r="E1" s="36" t="s">
        <v>275</v>
      </c>
      <c r="F1" s="35" t="s">
        <v>1181</v>
      </c>
      <c r="G1" s="35" t="s">
        <v>79</v>
      </c>
      <c r="H1" s="35" t="s">
        <v>275</v>
      </c>
      <c r="I1" s="37" t="s">
        <v>276</v>
      </c>
      <c r="J1" s="35" t="s">
        <v>935</v>
      </c>
      <c r="K1" s="35" t="s">
        <v>789</v>
      </c>
      <c r="L1" s="35" t="s">
        <v>790</v>
      </c>
      <c r="M1" s="36" t="s">
        <v>277</v>
      </c>
      <c r="N1" s="36" t="s">
        <v>372</v>
      </c>
      <c r="O1" s="36" t="s">
        <v>539</v>
      </c>
      <c r="P1" s="36" t="s">
        <v>1128</v>
      </c>
      <c r="Q1" s="36" t="s">
        <v>278</v>
      </c>
      <c r="R1" s="35" t="s">
        <v>701</v>
      </c>
      <c r="S1" s="36" t="s">
        <v>389</v>
      </c>
      <c r="T1" s="36" t="s">
        <v>1185</v>
      </c>
      <c r="U1" s="38" t="s">
        <v>355</v>
      </c>
      <c r="V1" s="34" t="s">
        <v>354</v>
      </c>
      <c r="W1" s="36" t="s">
        <v>373</v>
      </c>
      <c r="X1" s="35" t="s">
        <v>836</v>
      </c>
      <c r="Y1" s="34" t="s">
        <v>384</v>
      </c>
      <c r="Z1" s="39" t="s">
        <v>837</v>
      </c>
      <c r="AA1" s="34" t="s">
        <v>791</v>
      </c>
      <c r="AB1" s="34" t="s">
        <v>792</v>
      </c>
      <c r="AC1" s="34" t="s">
        <v>697</v>
      </c>
      <c r="AD1" s="36" t="s">
        <v>374</v>
      </c>
      <c r="AE1" s="34" t="s">
        <v>974</v>
      </c>
      <c r="AF1" s="40" t="s">
        <v>793</v>
      </c>
      <c r="AG1" s="34" t="s">
        <v>794</v>
      </c>
      <c r="AH1" s="34" t="s">
        <v>795</v>
      </c>
      <c r="AI1" s="34" t="s">
        <v>796</v>
      </c>
      <c r="AJ1" s="35" t="s">
        <v>838</v>
      </c>
      <c r="AK1" s="35" t="s">
        <v>535</v>
      </c>
      <c r="AL1" s="41" t="s">
        <v>975</v>
      </c>
      <c r="AM1" s="42" t="s">
        <v>839</v>
      </c>
      <c r="AN1" s="42" t="s">
        <v>840</v>
      </c>
    </row>
    <row r="2" spans="1:40" ht="12">
      <c r="A2" s="7" t="s">
        <v>811</v>
      </c>
      <c r="B2" s="8" t="s">
        <v>728</v>
      </c>
      <c r="C2" s="8" t="s">
        <v>356</v>
      </c>
      <c r="D2" s="9" t="s">
        <v>848</v>
      </c>
      <c r="E2" s="10">
        <f>(C2-D2)/D2*100</f>
        <v>11.964444444444444</v>
      </c>
      <c r="F2" s="9">
        <v>279900</v>
      </c>
      <c r="G2" s="9">
        <v>263500</v>
      </c>
      <c r="H2" s="10">
        <f>(F2-G2)/G2*100</f>
        <v>6.223908918406072</v>
      </c>
      <c r="I2" s="11">
        <v>16.35</v>
      </c>
      <c r="J2" s="9">
        <v>57100</v>
      </c>
      <c r="K2" s="9">
        <v>348</v>
      </c>
      <c r="L2" s="9">
        <v>340</v>
      </c>
      <c r="M2" s="12">
        <v>36.7</v>
      </c>
      <c r="N2" s="12">
        <v>3</v>
      </c>
      <c r="O2" s="12">
        <v>1475</v>
      </c>
      <c r="P2" s="12">
        <v>21.15</v>
      </c>
      <c r="Q2" s="12">
        <v>32</v>
      </c>
      <c r="R2" s="9">
        <v>6460</v>
      </c>
      <c r="S2" s="3" t="s">
        <v>15</v>
      </c>
      <c r="T2" s="3" t="s">
        <v>973</v>
      </c>
      <c r="U2" s="4" t="s">
        <v>1024</v>
      </c>
      <c r="V2" s="1" t="s">
        <v>137</v>
      </c>
      <c r="W2" s="12">
        <v>90</v>
      </c>
      <c r="X2" s="9">
        <v>50376</v>
      </c>
      <c r="Y2" s="8">
        <v>19</v>
      </c>
      <c r="Z2" s="44">
        <v>0.2</v>
      </c>
      <c r="AA2" s="8">
        <v>35</v>
      </c>
      <c r="AB2" s="8">
        <v>8</v>
      </c>
      <c r="AC2" s="8">
        <v>19</v>
      </c>
      <c r="AD2" s="12">
        <v>14</v>
      </c>
      <c r="AE2" s="8">
        <v>0</v>
      </c>
      <c r="AF2" s="14">
        <v>0.7070707070707071</v>
      </c>
      <c r="AG2" s="8" t="s">
        <v>385</v>
      </c>
      <c r="AH2" s="15" t="s">
        <v>936</v>
      </c>
      <c r="AI2" s="15" t="s">
        <v>257</v>
      </c>
      <c r="AJ2" s="16">
        <v>233.58433300557195</v>
      </c>
      <c r="AK2" s="16">
        <v>36.90947230416257</v>
      </c>
      <c r="AL2" s="17">
        <f>(10085/B2)*100</f>
        <v>66.10947230416257</v>
      </c>
      <c r="AM2" s="43">
        <v>0.23598820058997</v>
      </c>
      <c r="AN2" s="43">
        <v>0.203212061619141</v>
      </c>
    </row>
    <row r="3" spans="1:40" ht="12">
      <c r="A3" s="7" t="s">
        <v>812</v>
      </c>
      <c r="B3" s="8" t="s">
        <v>732</v>
      </c>
      <c r="C3" s="8" t="s">
        <v>357</v>
      </c>
      <c r="D3" s="9" t="s">
        <v>849</v>
      </c>
      <c r="E3" s="10">
        <f aca="true" t="shared" si="0" ref="E3:E66">(C3-D3)/D3*100</f>
        <v>13.526184007245218</v>
      </c>
      <c r="F3" s="9">
        <v>225000</v>
      </c>
      <c r="G3" s="9">
        <v>182000</v>
      </c>
      <c r="H3" s="10">
        <f aca="true" t="shared" si="1" ref="H3:H65">(F3-G3)/G3*100</f>
        <v>23.626373626373624</v>
      </c>
      <c r="I3" s="11">
        <v>13.55</v>
      </c>
      <c r="J3" s="9">
        <v>91624</v>
      </c>
      <c r="K3" s="9">
        <v>342</v>
      </c>
      <c r="L3" s="9">
        <v>1080</v>
      </c>
      <c r="M3" s="12">
        <v>37.9</v>
      </c>
      <c r="N3" s="12">
        <v>12.8</v>
      </c>
      <c r="O3" s="12">
        <v>1017</v>
      </c>
      <c r="P3" s="12">
        <v>25.31</v>
      </c>
      <c r="Q3" s="12">
        <v>51</v>
      </c>
      <c r="R3" s="2">
        <v>8480</v>
      </c>
      <c r="S3" s="3" t="s">
        <v>390</v>
      </c>
      <c r="T3" s="3" t="s">
        <v>119</v>
      </c>
      <c r="U3" s="4" t="s">
        <v>1022</v>
      </c>
      <c r="V3" s="1" t="s">
        <v>129</v>
      </c>
      <c r="W3" s="12">
        <v>91</v>
      </c>
      <c r="X3" s="2">
        <v>53766</v>
      </c>
      <c r="Y3" s="8">
        <v>17</v>
      </c>
      <c r="Z3" s="44">
        <v>0.9</v>
      </c>
      <c r="AA3" s="8">
        <v>100</v>
      </c>
      <c r="AB3" s="8">
        <v>5</v>
      </c>
      <c r="AC3" s="8">
        <v>24</v>
      </c>
      <c r="AD3" s="12">
        <v>18.17</v>
      </c>
      <c r="AE3" s="8">
        <v>6</v>
      </c>
      <c r="AF3" s="14">
        <v>0.25</v>
      </c>
      <c r="AG3" s="8" t="s">
        <v>386</v>
      </c>
      <c r="AH3" s="15" t="s">
        <v>937</v>
      </c>
      <c r="AI3" s="15" t="s">
        <v>250</v>
      </c>
      <c r="AJ3" s="16">
        <v>219.3027073732719</v>
      </c>
      <c r="AK3" s="16">
        <v>58.860407066052225</v>
      </c>
      <c r="AL3" s="17">
        <f>(12587/B3)*100</f>
        <v>60.421466973886325</v>
      </c>
      <c r="AM3" s="43">
        <v>0.144009216589862</v>
      </c>
      <c r="AN3" s="43">
        <v>0.115207373271889</v>
      </c>
    </row>
    <row r="4" spans="1:40" ht="12">
      <c r="A4" s="7" t="s">
        <v>1041</v>
      </c>
      <c r="B4" s="8" t="s">
        <v>733</v>
      </c>
      <c r="C4" s="8" t="s">
        <v>358</v>
      </c>
      <c r="D4" s="9" t="s">
        <v>850</v>
      </c>
      <c r="E4" s="10">
        <f t="shared" si="0"/>
        <v>7.55</v>
      </c>
      <c r="F4" s="9">
        <v>180000</v>
      </c>
      <c r="G4" s="9">
        <v>165000</v>
      </c>
      <c r="H4" s="10">
        <f t="shared" si="1"/>
        <v>9.090909090909092</v>
      </c>
      <c r="I4" s="11">
        <v>17.2</v>
      </c>
      <c r="J4" s="9">
        <v>51906</v>
      </c>
      <c r="K4" s="9">
        <v>357</v>
      </c>
      <c r="L4" s="9">
        <v>330</v>
      </c>
      <c r="M4" s="12">
        <v>36.7</v>
      </c>
      <c r="N4" s="12">
        <v>3.4</v>
      </c>
      <c r="O4" s="12">
        <v>1327</v>
      </c>
      <c r="P4" s="12">
        <v>40.46</v>
      </c>
      <c r="Q4" s="12" t="s">
        <v>1129</v>
      </c>
      <c r="R4" s="9">
        <v>7769</v>
      </c>
      <c r="S4" s="3" t="s">
        <v>391</v>
      </c>
      <c r="T4" s="3" t="s">
        <v>120</v>
      </c>
      <c r="U4" s="4" t="s">
        <v>1023</v>
      </c>
      <c r="V4" s="8" t="s">
        <v>1109</v>
      </c>
      <c r="W4" s="12">
        <v>83</v>
      </c>
      <c r="X4" s="9">
        <v>44586</v>
      </c>
      <c r="Y4" s="8">
        <v>14</v>
      </c>
      <c r="Z4" s="44">
        <v>2.6</v>
      </c>
      <c r="AA4" s="8">
        <v>100</v>
      </c>
      <c r="AB4" s="8">
        <v>5</v>
      </c>
      <c r="AC4" s="8">
        <v>41</v>
      </c>
      <c r="AD4" s="12">
        <v>4.52</v>
      </c>
      <c r="AE4" s="8">
        <v>3</v>
      </c>
      <c r="AF4" s="14">
        <v>0.8064516129032258</v>
      </c>
      <c r="AG4" s="8" t="s">
        <v>386</v>
      </c>
      <c r="AH4" s="15" t="s">
        <v>938</v>
      </c>
      <c r="AI4" s="15" t="s">
        <v>258</v>
      </c>
      <c r="AJ4" s="16">
        <v>289.6546762589928</v>
      </c>
      <c r="AK4" s="16">
        <v>25.967146282973623</v>
      </c>
      <c r="AL4" s="17">
        <f>(10821/B4)*100</f>
        <v>64.87410071942446</v>
      </c>
      <c r="AM4" s="43">
        <v>0.173860911270983</v>
      </c>
      <c r="AN4" s="43">
        <v>0.221822541966427</v>
      </c>
    </row>
    <row r="5" spans="1:40" ht="12">
      <c r="A5" s="7" t="s">
        <v>1042</v>
      </c>
      <c r="B5" s="8" t="s">
        <v>734</v>
      </c>
      <c r="C5" s="8" t="s">
        <v>845</v>
      </c>
      <c r="D5" s="9" t="s">
        <v>851</v>
      </c>
      <c r="E5" s="10">
        <f t="shared" si="0"/>
        <v>8.24742268041237</v>
      </c>
      <c r="F5" s="9">
        <v>285550</v>
      </c>
      <c r="G5" s="9">
        <v>194000</v>
      </c>
      <c r="H5" s="10">
        <f t="shared" si="1"/>
        <v>47.19072164948454</v>
      </c>
      <c r="I5" s="11">
        <v>11.63</v>
      </c>
      <c r="J5" s="9">
        <v>87683</v>
      </c>
      <c r="K5" s="9">
        <v>302</v>
      </c>
      <c r="L5" s="9">
        <v>314</v>
      </c>
      <c r="M5" s="12">
        <v>39.5</v>
      </c>
      <c r="N5" s="12">
        <v>9.3</v>
      </c>
      <c r="O5" s="12">
        <v>1008</v>
      </c>
      <c r="P5" s="12">
        <v>24.05</v>
      </c>
      <c r="Q5" s="12">
        <v>47</v>
      </c>
      <c r="R5" s="9">
        <v>9252</v>
      </c>
      <c r="S5" s="3" t="s">
        <v>392</v>
      </c>
      <c r="T5" s="3" t="s">
        <v>121</v>
      </c>
      <c r="U5" s="4" t="s">
        <v>1025</v>
      </c>
      <c r="V5" s="1" t="s">
        <v>136</v>
      </c>
      <c r="W5" s="12">
        <v>92</v>
      </c>
      <c r="X5" s="9">
        <v>56349</v>
      </c>
      <c r="Y5" s="8">
        <v>14</v>
      </c>
      <c r="Z5" s="44">
        <v>1.3</v>
      </c>
      <c r="AA5" s="8">
        <v>100</v>
      </c>
      <c r="AB5" s="8">
        <v>3</v>
      </c>
      <c r="AC5" s="8">
        <v>40</v>
      </c>
      <c r="AD5" s="12">
        <v>20.43</v>
      </c>
      <c r="AE5" s="8">
        <v>1</v>
      </c>
      <c r="AF5" s="14">
        <v>0.22580645161290322</v>
      </c>
      <c r="AG5" s="8" t="s">
        <v>386</v>
      </c>
      <c r="AH5" s="15" t="s">
        <v>939</v>
      </c>
      <c r="AI5" s="15" t="s">
        <v>259</v>
      </c>
      <c r="AJ5" s="16">
        <v>329.4480482745616</v>
      </c>
      <c r="AK5" s="16">
        <v>110.47356842039098</v>
      </c>
      <c r="AL5" s="17">
        <f>(21845/B5)*100</f>
        <v>68.65610660632346</v>
      </c>
      <c r="AM5" s="43">
        <v>0.169715255515746</v>
      </c>
      <c r="AN5" s="43">
        <v>0.235715632660758</v>
      </c>
    </row>
    <row r="6" spans="1:40" ht="12">
      <c r="A6" s="7" t="s">
        <v>1043</v>
      </c>
      <c r="B6" s="8" t="s">
        <v>735</v>
      </c>
      <c r="C6" s="8" t="s">
        <v>846</v>
      </c>
      <c r="D6" s="9" t="s">
        <v>223</v>
      </c>
      <c r="E6" s="10">
        <f t="shared" si="0"/>
        <v>10.352941176470589</v>
      </c>
      <c r="F6" s="9">
        <v>309750</v>
      </c>
      <c r="G6" s="9">
        <v>307550</v>
      </c>
      <c r="H6" s="10">
        <f t="shared" si="1"/>
        <v>0.7153308405137375</v>
      </c>
      <c r="I6" s="11">
        <v>13.61</v>
      </c>
      <c r="J6" s="9">
        <v>64344</v>
      </c>
      <c r="K6" s="9">
        <v>319.4</v>
      </c>
      <c r="L6" s="9">
        <v>300</v>
      </c>
      <c r="M6" s="12">
        <v>39.5</v>
      </c>
      <c r="N6" s="12">
        <v>10.2</v>
      </c>
      <c r="O6" s="12">
        <v>8152</v>
      </c>
      <c r="P6" s="12">
        <v>8.33</v>
      </c>
      <c r="Q6" s="12" t="s">
        <v>1129</v>
      </c>
      <c r="R6" s="9">
        <v>8165</v>
      </c>
      <c r="S6" s="3" t="s">
        <v>0</v>
      </c>
      <c r="T6" s="3" t="s">
        <v>122</v>
      </c>
      <c r="U6" s="4" t="s">
        <v>1026</v>
      </c>
      <c r="V6" s="1" t="s">
        <v>135</v>
      </c>
      <c r="W6" s="12">
        <v>90</v>
      </c>
      <c r="X6" s="9">
        <v>45782</v>
      </c>
      <c r="Y6" s="8">
        <v>15</v>
      </c>
      <c r="Z6" s="44">
        <v>2.1</v>
      </c>
      <c r="AA6" s="8">
        <v>100</v>
      </c>
      <c r="AB6" s="8">
        <v>4</v>
      </c>
      <c r="AC6" s="8">
        <v>47</v>
      </c>
      <c r="AD6" s="12">
        <v>4.56</v>
      </c>
      <c r="AE6" s="8">
        <v>0</v>
      </c>
      <c r="AF6" s="14">
        <v>1.7307692307692306</v>
      </c>
      <c r="AG6" s="8" t="s">
        <v>386</v>
      </c>
      <c r="AH6" s="15" t="s">
        <v>1135</v>
      </c>
      <c r="AI6" s="15" t="s">
        <v>260</v>
      </c>
      <c r="AJ6" s="16">
        <v>232.93711438063596</v>
      </c>
      <c r="AK6" s="16">
        <v>58.1109397247271</v>
      </c>
      <c r="AL6" s="17">
        <f>(29744/B6)*100</f>
        <v>70.58376839107736</v>
      </c>
      <c r="AM6" s="43">
        <v>0.268153773137162</v>
      </c>
      <c r="AN6" s="43">
        <v>0.280018984337921</v>
      </c>
    </row>
    <row r="7" spans="1:40" ht="12">
      <c r="A7" s="7" t="s">
        <v>1044</v>
      </c>
      <c r="B7" s="8" t="s">
        <v>736</v>
      </c>
      <c r="C7" s="8" t="s">
        <v>847</v>
      </c>
      <c r="D7" s="9" t="s">
        <v>479</v>
      </c>
      <c r="E7" s="10">
        <f t="shared" si="0"/>
        <v>4.054054054054054</v>
      </c>
      <c r="F7" s="9">
        <v>317000</v>
      </c>
      <c r="G7" s="9">
        <v>315000</v>
      </c>
      <c r="H7" s="10">
        <f t="shared" si="1"/>
        <v>0.6349206349206349</v>
      </c>
      <c r="I7" s="11">
        <v>13.32</v>
      </c>
      <c r="J7" s="9">
        <v>68392</v>
      </c>
      <c r="K7" s="9">
        <v>310</v>
      </c>
      <c r="L7" s="9">
        <v>800</v>
      </c>
      <c r="M7" s="12">
        <v>37.4</v>
      </c>
      <c r="N7" s="12">
        <v>9.9</v>
      </c>
      <c r="O7" s="12">
        <v>1183</v>
      </c>
      <c r="P7" s="12">
        <v>27.46</v>
      </c>
      <c r="Q7" s="12">
        <v>45</v>
      </c>
      <c r="R7" s="9">
        <v>7732</v>
      </c>
      <c r="S7" s="3" t="s">
        <v>1</v>
      </c>
      <c r="T7" s="3" t="s">
        <v>123</v>
      </c>
      <c r="U7" s="4" t="s">
        <v>1027</v>
      </c>
      <c r="V7" s="1" t="s">
        <v>134</v>
      </c>
      <c r="W7" s="12">
        <v>96</v>
      </c>
      <c r="X7" s="9">
        <v>50308</v>
      </c>
      <c r="Y7" s="8">
        <v>15</v>
      </c>
      <c r="Z7" s="44">
        <v>0.2</v>
      </c>
      <c r="AA7" s="8">
        <v>100</v>
      </c>
      <c r="AB7" s="8">
        <v>6</v>
      </c>
      <c r="AC7" s="8">
        <v>29</v>
      </c>
      <c r="AD7" s="12">
        <v>26.03</v>
      </c>
      <c r="AE7" s="8">
        <v>4</v>
      </c>
      <c r="AF7" s="14">
        <v>0.564516129032258</v>
      </c>
      <c r="AG7" s="8" t="s">
        <v>386</v>
      </c>
      <c r="AH7" s="15" t="s">
        <v>940</v>
      </c>
      <c r="AI7" s="15" t="s">
        <v>261</v>
      </c>
      <c r="AJ7" s="16">
        <v>218.45465176715177</v>
      </c>
      <c r="AK7" s="16">
        <v>20.381237006237008</v>
      </c>
      <c r="AL7" s="17">
        <f>(10086/B7)*100</f>
        <v>65.52754677754677</v>
      </c>
      <c r="AM7" s="43">
        <v>0.142931392931393</v>
      </c>
      <c r="AN7" s="43">
        <v>0.103950103950104</v>
      </c>
    </row>
    <row r="8" spans="1:40" ht="12">
      <c r="A8" s="7" t="s">
        <v>1045</v>
      </c>
      <c r="B8" s="8" t="s">
        <v>737</v>
      </c>
      <c r="C8" s="8" t="s">
        <v>361</v>
      </c>
      <c r="D8" s="9" t="s">
        <v>883</v>
      </c>
      <c r="E8" s="10">
        <f t="shared" si="0"/>
        <v>15.09433962264151</v>
      </c>
      <c r="F8" s="9">
        <v>209950</v>
      </c>
      <c r="G8" s="9">
        <v>186000</v>
      </c>
      <c r="H8" s="10">
        <f t="shared" si="1"/>
        <v>12.876344086021504</v>
      </c>
      <c r="I8" s="11">
        <v>12.95</v>
      </c>
      <c r="J8" s="9">
        <v>50807</v>
      </c>
      <c r="K8" s="9" t="s">
        <v>1129</v>
      </c>
      <c r="L8" s="9">
        <v>294</v>
      </c>
      <c r="M8" s="12">
        <v>36.1</v>
      </c>
      <c r="N8" s="12">
        <v>10.9</v>
      </c>
      <c r="O8" s="12">
        <v>1530</v>
      </c>
      <c r="P8" s="12">
        <v>38.96</v>
      </c>
      <c r="Q8" s="12">
        <v>55</v>
      </c>
      <c r="R8" s="9">
        <v>6854</v>
      </c>
      <c r="S8" s="3" t="s">
        <v>2</v>
      </c>
      <c r="T8" s="3" t="s">
        <v>124</v>
      </c>
      <c r="U8" s="4" t="s">
        <v>1028</v>
      </c>
      <c r="V8" s="8" t="s">
        <v>1110</v>
      </c>
      <c r="W8" s="12">
        <v>71</v>
      </c>
      <c r="X8" s="9">
        <v>49831</v>
      </c>
      <c r="Y8" s="8">
        <v>14</v>
      </c>
      <c r="Z8" s="44">
        <v>3.2</v>
      </c>
      <c r="AA8" s="8">
        <v>100</v>
      </c>
      <c r="AB8" s="8">
        <v>6</v>
      </c>
      <c r="AC8" s="8">
        <v>59</v>
      </c>
      <c r="AD8" s="12">
        <v>10.73</v>
      </c>
      <c r="AE8" s="8">
        <v>7</v>
      </c>
      <c r="AF8" s="14">
        <v>0.5818181818181818</v>
      </c>
      <c r="AG8" s="8" t="s">
        <v>385</v>
      </c>
      <c r="AH8" s="15" t="s">
        <v>1129</v>
      </c>
      <c r="AI8" s="15" t="s">
        <v>1129</v>
      </c>
      <c r="AJ8" s="16">
        <v>226.36521175053286</v>
      </c>
      <c r="AK8" s="16">
        <v>45.184853118339355</v>
      </c>
      <c r="AL8" s="17">
        <f>(25313/B8)*100</f>
        <v>58.643777221758874</v>
      </c>
      <c r="AM8" s="43">
        <v>0.208507089241034</v>
      </c>
      <c r="AN8" s="43">
        <v>0.250208507089241</v>
      </c>
    </row>
    <row r="9" spans="1:40" ht="12">
      <c r="A9" s="7" t="s">
        <v>1046</v>
      </c>
      <c r="B9" s="8" t="s">
        <v>738</v>
      </c>
      <c r="C9" s="8" t="s">
        <v>362</v>
      </c>
      <c r="D9" s="9" t="s">
        <v>852</v>
      </c>
      <c r="E9" s="10">
        <f t="shared" si="0"/>
        <v>7.835820895522389</v>
      </c>
      <c r="F9" s="9">
        <v>140000</v>
      </c>
      <c r="G9" s="9" t="s">
        <v>1129</v>
      </c>
      <c r="H9" s="10" t="s">
        <v>1129</v>
      </c>
      <c r="I9" s="11">
        <v>12.42</v>
      </c>
      <c r="J9" s="9">
        <v>50305</v>
      </c>
      <c r="K9" s="9">
        <v>254</v>
      </c>
      <c r="L9" s="9" t="s">
        <v>1129</v>
      </c>
      <c r="M9" s="12">
        <v>40.2</v>
      </c>
      <c r="N9" s="12">
        <v>7.2</v>
      </c>
      <c r="O9" s="12">
        <v>1010</v>
      </c>
      <c r="P9" s="12">
        <v>20.86</v>
      </c>
      <c r="Q9" s="12" t="s">
        <v>1129</v>
      </c>
      <c r="R9" s="9">
        <v>8372</v>
      </c>
      <c r="S9" s="3" t="s">
        <v>3</v>
      </c>
      <c r="T9" s="3" t="s">
        <v>125</v>
      </c>
      <c r="U9" s="4" t="s">
        <v>1029</v>
      </c>
      <c r="V9" s="1" t="s">
        <v>133</v>
      </c>
      <c r="W9" s="12">
        <v>88.7</v>
      </c>
      <c r="X9" s="9">
        <v>45604</v>
      </c>
      <c r="Y9" s="8">
        <v>12</v>
      </c>
      <c r="Z9" s="44">
        <v>2.4</v>
      </c>
      <c r="AA9" s="8">
        <v>100</v>
      </c>
      <c r="AB9" s="8">
        <v>5</v>
      </c>
      <c r="AC9" s="8">
        <v>4</v>
      </c>
      <c r="AD9" s="12">
        <v>11.23</v>
      </c>
      <c r="AE9" s="8">
        <v>1</v>
      </c>
      <c r="AF9" s="14">
        <v>1.3636363636363635</v>
      </c>
      <c r="AG9" s="8" t="s">
        <v>385</v>
      </c>
      <c r="AH9" s="15" t="s">
        <v>941</v>
      </c>
      <c r="AI9" s="15" t="s">
        <v>262</v>
      </c>
      <c r="AJ9" s="16">
        <v>542.6666666666666</v>
      </c>
      <c r="AK9" s="16">
        <v>73.07012811867835</v>
      </c>
      <c r="AL9" s="17">
        <f>(3131/B9)*100</f>
        <v>70.37536525061812</v>
      </c>
      <c r="AM9" s="43">
        <v>0.202292650033715</v>
      </c>
      <c r="AN9" s="43">
        <v>0.404585300067431</v>
      </c>
    </row>
    <row r="10" spans="1:40" ht="12">
      <c r="A10" s="7" t="s">
        <v>1047</v>
      </c>
      <c r="B10" s="8" t="s">
        <v>739</v>
      </c>
      <c r="C10" s="8" t="s">
        <v>473</v>
      </c>
      <c r="D10" s="9" t="s">
        <v>818</v>
      </c>
      <c r="E10" s="10">
        <f t="shared" si="0"/>
        <v>14.382022471910114</v>
      </c>
      <c r="F10" s="9">
        <v>599000</v>
      </c>
      <c r="G10" s="9">
        <v>414000</v>
      </c>
      <c r="H10" s="10">
        <f t="shared" si="1"/>
        <v>44.68599033816425</v>
      </c>
      <c r="I10" s="11">
        <v>10.77</v>
      </c>
      <c r="J10" s="9">
        <v>87962</v>
      </c>
      <c r="K10" s="9">
        <v>375</v>
      </c>
      <c r="L10" s="9">
        <v>677</v>
      </c>
      <c r="M10" s="12">
        <v>42.1</v>
      </c>
      <c r="N10" s="12">
        <v>10.1</v>
      </c>
      <c r="O10" s="12">
        <v>919</v>
      </c>
      <c r="P10" s="12">
        <v>20.91</v>
      </c>
      <c r="Q10" s="12" t="s">
        <v>1129</v>
      </c>
      <c r="R10" s="9">
        <v>9923</v>
      </c>
      <c r="S10" s="3" t="s">
        <v>4</v>
      </c>
      <c r="T10" s="3" t="s">
        <v>126</v>
      </c>
      <c r="U10" s="4" t="s">
        <v>1030</v>
      </c>
      <c r="V10" s="1" t="s">
        <v>132</v>
      </c>
      <c r="W10" s="12">
        <v>85</v>
      </c>
      <c r="X10" s="9">
        <v>54580</v>
      </c>
      <c r="Y10" s="8">
        <v>12</v>
      </c>
      <c r="Z10" s="44">
        <v>1.4</v>
      </c>
      <c r="AA10" s="8">
        <v>100</v>
      </c>
      <c r="AB10" s="8">
        <v>2</v>
      </c>
      <c r="AC10" s="8">
        <v>21</v>
      </c>
      <c r="AD10" s="12">
        <v>18.57</v>
      </c>
      <c r="AE10" s="8">
        <v>2</v>
      </c>
      <c r="AF10" s="14">
        <v>0.5839416058394161</v>
      </c>
      <c r="AG10" s="8" t="s">
        <v>386</v>
      </c>
      <c r="AH10" s="15" t="s">
        <v>942</v>
      </c>
      <c r="AI10" s="15" t="s">
        <v>263</v>
      </c>
      <c r="AJ10" s="16">
        <v>317.208666086819</v>
      </c>
      <c r="AK10" s="16">
        <v>106.59444927650826</v>
      </c>
      <c r="AL10" s="17">
        <f>(8795/B10)*100</f>
        <v>69.54218391713451</v>
      </c>
      <c r="AM10" s="43">
        <v>0.221396378587807</v>
      </c>
      <c r="AN10" s="43">
        <v>0.134419229856883</v>
      </c>
    </row>
    <row r="11" spans="1:40" ht="12">
      <c r="A11" s="7" t="s">
        <v>1048</v>
      </c>
      <c r="B11" s="8" t="s">
        <v>740</v>
      </c>
      <c r="C11" s="8" t="s">
        <v>474</v>
      </c>
      <c r="D11" s="9" t="s">
        <v>853</v>
      </c>
      <c r="E11" s="10">
        <f t="shared" si="0"/>
        <v>4.7323506594259115</v>
      </c>
      <c r="F11" s="9">
        <v>385000</v>
      </c>
      <c r="G11" s="9">
        <v>343000</v>
      </c>
      <c r="H11" s="10">
        <f t="shared" si="1"/>
        <v>12.244897959183673</v>
      </c>
      <c r="I11" s="11">
        <v>10.78</v>
      </c>
      <c r="J11" s="9">
        <v>80295</v>
      </c>
      <c r="K11" s="9">
        <v>517.92</v>
      </c>
      <c r="L11" s="9">
        <v>935.64</v>
      </c>
      <c r="M11" s="12">
        <v>40.4</v>
      </c>
      <c r="N11" s="12">
        <v>10.2</v>
      </c>
      <c r="O11" s="12">
        <v>5148</v>
      </c>
      <c r="P11" s="12">
        <v>8.67</v>
      </c>
      <c r="Q11" s="12">
        <v>16</v>
      </c>
      <c r="R11" s="9">
        <v>7652</v>
      </c>
      <c r="S11" s="3" t="s">
        <v>5</v>
      </c>
      <c r="T11" s="3" t="s">
        <v>127</v>
      </c>
      <c r="U11" s="4" t="s">
        <v>1031</v>
      </c>
      <c r="V11" s="1" t="s">
        <v>131</v>
      </c>
      <c r="W11" s="12">
        <v>90</v>
      </c>
      <c r="X11" s="9">
        <v>53643</v>
      </c>
      <c r="Y11" s="8">
        <v>15</v>
      </c>
      <c r="Z11" s="44">
        <v>1</v>
      </c>
      <c r="AA11" s="8">
        <v>100</v>
      </c>
      <c r="AB11" s="8">
        <v>5</v>
      </c>
      <c r="AC11" s="8">
        <v>31</v>
      </c>
      <c r="AD11" s="12">
        <v>17.36</v>
      </c>
      <c r="AE11" s="8">
        <v>0</v>
      </c>
      <c r="AF11" s="14">
        <v>1.9148936170212765</v>
      </c>
      <c r="AG11" s="8" t="s">
        <v>386</v>
      </c>
      <c r="AH11" s="15" t="s">
        <v>943</v>
      </c>
      <c r="AI11" s="15" t="s">
        <v>264</v>
      </c>
      <c r="AJ11" s="16">
        <v>335.54281555416924</v>
      </c>
      <c r="AK11" s="16">
        <v>85.05223539197338</v>
      </c>
      <c r="AL11" s="17">
        <f>(16641/B11)*100</f>
        <v>69.2077354959451</v>
      </c>
      <c r="AM11" s="43">
        <v>0.270326471199834</v>
      </c>
      <c r="AN11" s="43">
        <v>0.191307964233728</v>
      </c>
    </row>
    <row r="12" spans="1:40" ht="12">
      <c r="A12" s="7" t="s">
        <v>1049</v>
      </c>
      <c r="B12" s="8" t="s">
        <v>741</v>
      </c>
      <c r="C12" s="8" t="s">
        <v>475</v>
      </c>
      <c r="D12" s="9" t="s">
        <v>854</v>
      </c>
      <c r="E12" s="10">
        <f t="shared" si="0"/>
        <v>36.51877133105802</v>
      </c>
      <c r="F12" s="9" t="s">
        <v>1129</v>
      </c>
      <c r="G12" s="9">
        <v>379855</v>
      </c>
      <c r="H12" s="10" t="s">
        <v>1129</v>
      </c>
      <c r="I12" s="11">
        <v>14.13</v>
      </c>
      <c r="J12" s="9">
        <v>65667</v>
      </c>
      <c r="K12" s="9" t="s">
        <v>1129</v>
      </c>
      <c r="L12" s="9" t="s">
        <v>1129</v>
      </c>
      <c r="M12" s="12">
        <v>39.5</v>
      </c>
      <c r="N12" s="12">
        <v>2.7</v>
      </c>
      <c r="O12" s="12">
        <v>185</v>
      </c>
      <c r="P12" s="12">
        <v>41.04</v>
      </c>
      <c r="Q12" s="12" t="s">
        <v>1129</v>
      </c>
      <c r="R12" s="2">
        <v>8970</v>
      </c>
      <c r="S12" s="3" t="s">
        <v>6</v>
      </c>
      <c r="T12" s="3" t="s">
        <v>128</v>
      </c>
      <c r="U12" s="4" t="s">
        <v>1032</v>
      </c>
      <c r="V12" s="8" t="s">
        <v>702</v>
      </c>
      <c r="W12" s="12">
        <v>87</v>
      </c>
      <c r="X12" s="2">
        <v>36591</v>
      </c>
      <c r="Y12" s="8">
        <v>14</v>
      </c>
      <c r="Z12" s="44">
        <v>0</v>
      </c>
      <c r="AA12" s="8">
        <v>97</v>
      </c>
      <c r="AB12" s="8">
        <v>7</v>
      </c>
      <c r="AC12" s="8">
        <v>3</v>
      </c>
      <c r="AD12" s="12">
        <v>15.77</v>
      </c>
      <c r="AE12" s="8">
        <v>0</v>
      </c>
      <c r="AF12" s="14">
        <v>0</v>
      </c>
      <c r="AG12" s="8" t="s">
        <v>386</v>
      </c>
      <c r="AH12" s="15" t="s">
        <v>944</v>
      </c>
      <c r="AI12" s="15" t="s">
        <v>265</v>
      </c>
      <c r="AJ12" s="16">
        <v>155.68796260225946</v>
      </c>
      <c r="AK12" s="16">
        <v>27.9824698091157</v>
      </c>
      <c r="AL12" s="17">
        <f>(1888/B12)*100</f>
        <v>73.54888975457733</v>
      </c>
      <c r="AM12" s="43">
        <v>0.272691858200234</v>
      </c>
      <c r="AN12" s="43">
        <v>0.272691858200234</v>
      </c>
    </row>
    <row r="13" spans="1:40" ht="12">
      <c r="A13" s="7" t="s">
        <v>1050</v>
      </c>
      <c r="B13" s="8" t="s">
        <v>742</v>
      </c>
      <c r="C13" s="8" t="s">
        <v>476</v>
      </c>
      <c r="D13" s="9" t="s">
        <v>477</v>
      </c>
      <c r="E13" s="10">
        <f t="shared" si="0"/>
        <v>8.695652173913043</v>
      </c>
      <c r="F13" s="9">
        <v>225100</v>
      </c>
      <c r="G13" s="9">
        <v>209000</v>
      </c>
      <c r="H13" s="10">
        <f t="shared" si="1"/>
        <v>7.703349282296651</v>
      </c>
      <c r="I13" s="11">
        <v>11.61</v>
      </c>
      <c r="J13" s="9">
        <v>53984</v>
      </c>
      <c r="K13" s="9">
        <v>356</v>
      </c>
      <c r="L13" s="9">
        <v>418</v>
      </c>
      <c r="M13" s="12">
        <v>38.3</v>
      </c>
      <c r="N13" s="12">
        <v>5.2</v>
      </c>
      <c r="O13" s="12">
        <v>2401</v>
      </c>
      <c r="P13" s="12">
        <v>23.55</v>
      </c>
      <c r="Q13" s="12">
        <v>37</v>
      </c>
      <c r="R13" s="9">
        <v>7792</v>
      </c>
      <c r="S13" s="3" t="s">
        <v>7</v>
      </c>
      <c r="T13" s="3" t="s">
        <v>53</v>
      </c>
      <c r="U13" s="4" t="s">
        <v>1033</v>
      </c>
      <c r="V13" s="8" t="s">
        <v>703</v>
      </c>
      <c r="W13" s="12">
        <v>89</v>
      </c>
      <c r="X13" s="9">
        <v>51149</v>
      </c>
      <c r="Y13" s="8">
        <v>13</v>
      </c>
      <c r="Z13" s="44">
        <v>2.4</v>
      </c>
      <c r="AA13" s="8">
        <v>93</v>
      </c>
      <c r="AB13" s="8">
        <v>5</v>
      </c>
      <c r="AC13" s="8">
        <v>54</v>
      </c>
      <c r="AD13" s="12">
        <v>12.33</v>
      </c>
      <c r="AE13" s="8">
        <v>3</v>
      </c>
      <c r="AF13" s="14">
        <v>0.9036144578313252</v>
      </c>
      <c r="AG13" s="8" t="s">
        <v>386</v>
      </c>
      <c r="AH13" s="15" t="s">
        <v>945</v>
      </c>
      <c r="AI13" s="15" t="s">
        <v>992</v>
      </c>
      <c r="AJ13" s="16">
        <v>247.1230520690941</v>
      </c>
      <c r="AK13" s="16">
        <v>68.2992170995402</v>
      </c>
      <c r="AL13" s="17">
        <f>(25244/B13)*100</f>
        <v>62.741394308437926</v>
      </c>
      <c r="AM13" s="43">
        <v>0.275879209643345</v>
      </c>
      <c r="AN13" s="43">
        <v>0.248539828507518</v>
      </c>
    </row>
    <row r="14" spans="1:40" ht="12">
      <c r="A14" s="7" t="s">
        <v>1051</v>
      </c>
      <c r="B14" s="8" t="s">
        <v>743</v>
      </c>
      <c r="C14" s="8" t="s">
        <v>477</v>
      </c>
      <c r="D14" s="9" t="s">
        <v>855</v>
      </c>
      <c r="E14" s="10">
        <f t="shared" si="0"/>
        <v>10.932475884244374</v>
      </c>
      <c r="F14" s="9">
        <v>165750</v>
      </c>
      <c r="G14" s="9">
        <v>164675</v>
      </c>
      <c r="H14" s="10">
        <f t="shared" si="1"/>
        <v>0.6528009716107485</v>
      </c>
      <c r="I14" s="11">
        <v>11.06</v>
      </c>
      <c r="J14" s="9">
        <v>67799</v>
      </c>
      <c r="K14" s="9">
        <v>184</v>
      </c>
      <c r="L14" s="9">
        <v>216</v>
      </c>
      <c r="M14" s="12">
        <v>35.9</v>
      </c>
      <c r="N14" s="12">
        <v>6.4</v>
      </c>
      <c r="O14" s="12">
        <v>1505</v>
      </c>
      <c r="P14" s="12">
        <v>22.31</v>
      </c>
      <c r="Q14" s="12">
        <v>39</v>
      </c>
      <c r="R14" s="9">
        <v>7663</v>
      </c>
      <c r="S14" s="3" t="s">
        <v>8</v>
      </c>
      <c r="T14" s="3" t="s">
        <v>54</v>
      </c>
      <c r="U14" s="4" t="s">
        <v>1034</v>
      </c>
      <c r="V14" s="1" t="s">
        <v>130</v>
      </c>
      <c r="W14" s="12">
        <v>81</v>
      </c>
      <c r="X14" s="9">
        <v>55932</v>
      </c>
      <c r="Y14" s="8">
        <v>15</v>
      </c>
      <c r="Z14" s="44">
        <v>2.5</v>
      </c>
      <c r="AA14" s="8">
        <v>100</v>
      </c>
      <c r="AB14" s="8">
        <v>8</v>
      </c>
      <c r="AC14" s="8">
        <v>72</v>
      </c>
      <c r="AD14" s="12">
        <v>7.81</v>
      </c>
      <c r="AE14" s="8">
        <v>7</v>
      </c>
      <c r="AF14" s="14">
        <v>0.3088803088803089</v>
      </c>
      <c r="AG14" s="8" t="s">
        <v>386</v>
      </c>
      <c r="AH14" s="15" t="s">
        <v>941</v>
      </c>
      <c r="AI14" s="15" t="s">
        <v>993</v>
      </c>
      <c r="AJ14" s="16">
        <v>275.44513725192</v>
      </c>
      <c r="AK14" s="16">
        <v>31.213950776873748</v>
      </c>
      <c r="AL14" s="17">
        <f>(23795/B14)*100</f>
        <v>60.31227029630193</v>
      </c>
      <c r="AM14" s="43">
        <v>0.152079689757433</v>
      </c>
      <c r="AN14" s="43">
        <v>0.129267736293818</v>
      </c>
    </row>
    <row r="15" spans="1:40" ht="12">
      <c r="A15" s="7" t="s">
        <v>1052</v>
      </c>
      <c r="B15" s="8" t="s">
        <v>744</v>
      </c>
      <c r="C15" s="8" t="s">
        <v>478</v>
      </c>
      <c r="D15" s="9" t="s">
        <v>818</v>
      </c>
      <c r="E15" s="10">
        <f t="shared" si="0"/>
        <v>13.48314606741573</v>
      </c>
      <c r="F15" s="9" t="s">
        <v>1129</v>
      </c>
      <c r="G15" s="9" t="s">
        <v>1129</v>
      </c>
      <c r="H15" s="10" t="s">
        <v>1129</v>
      </c>
      <c r="I15" s="11">
        <v>12.72</v>
      </c>
      <c r="J15" s="9">
        <v>102798</v>
      </c>
      <c r="K15" s="9" t="s">
        <v>1129</v>
      </c>
      <c r="L15" s="9" t="s">
        <v>1129</v>
      </c>
      <c r="M15" s="12">
        <v>38.3</v>
      </c>
      <c r="N15" s="12">
        <v>2.9</v>
      </c>
      <c r="O15" s="12">
        <v>208</v>
      </c>
      <c r="P15" s="12">
        <v>42.81</v>
      </c>
      <c r="Q15" s="12" t="s">
        <v>1129</v>
      </c>
      <c r="R15" s="9">
        <v>8616</v>
      </c>
      <c r="S15" s="3" t="s">
        <v>9</v>
      </c>
      <c r="T15" s="3" t="s">
        <v>55</v>
      </c>
      <c r="U15" s="4" t="s">
        <v>1035</v>
      </c>
      <c r="V15" s="1" t="s">
        <v>1112</v>
      </c>
      <c r="W15" s="12">
        <v>91</v>
      </c>
      <c r="X15" s="9">
        <v>52307</v>
      </c>
      <c r="Y15" s="8">
        <v>14</v>
      </c>
      <c r="Z15" s="44">
        <v>1.2</v>
      </c>
      <c r="AA15" s="8">
        <v>100</v>
      </c>
      <c r="AB15" s="8">
        <v>3</v>
      </c>
      <c r="AC15" s="8">
        <v>9</v>
      </c>
      <c r="AD15" s="12">
        <v>14.01</v>
      </c>
      <c r="AE15" s="8">
        <v>0</v>
      </c>
      <c r="AF15" s="14">
        <v>0.05025125628140704</v>
      </c>
      <c r="AG15" s="8" t="s">
        <v>386</v>
      </c>
      <c r="AH15" s="15" t="s">
        <v>946</v>
      </c>
      <c r="AI15" s="15" t="s">
        <v>573</v>
      </c>
      <c r="AJ15" s="16">
        <v>139.5576382380506</v>
      </c>
      <c r="AK15" s="16">
        <v>35.33364573570759</v>
      </c>
      <c r="AL15" s="17">
        <f>(3042/B15)*100</f>
        <v>71.27460168697282</v>
      </c>
      <c r="AM15" s="43">
        <v>0.117150890346767</v>
      </c>
      <c r="AN15" s="43">
        <v>0.164011246485473</v>
      </c>
    </row>
    <row r="16" spans="1:40" ht="12">
      <c r="A16" s="7" t="s">
        <v>930</v>
      </c>
      <c r="B16" s="8" t="s">
        <v>745</v>
      </c>
      <c r="C16" s="8" t="s">
        <v>479</v>
      </c>
      <c r="D16" s="9">
        <v>330000</v>
      </c>
      <c r="E16" s="10">
        <f t="shared" si="0"/>
        <v>12.121212121212121</v>
      </c>
      <c r="F16" s="9">
        <v>463000</v>
      </c>
      <c r="G16" s="9">
        <v>387500</v>
      </c>
      <c r="H16" s="10">
        <f t="shared" si="1"/>
        <v>19.483870967741936</v>
      </c>
      <c r="I16" s="11">
        <v>11.29</v>
      </c>
      <c r="J16" s="9">
        <v>39629</v>
      </c>
      <c r="K16" s="9">
        <v>352.68</v>
      </c>
      <c r="L16" s="9">
        <v>476.32</v>
      </c>
      <c r="M16" s="12">
        <v>31.1</v>
      </c>
      <c r="N16" s="12">
        <v>50.5</v>
      </c>
      <c r="O16" s="12">
        <v>12172</v>
      </c>
      <c r="P16" s="12" t="s">
        <v>388</v>
      </c>
      <c r="Q16" s="12" t="s">
        <v>388</v>
      </c>
      <c r="R16" s="9">
        <v>10057</v>
      </c>
      <c r="S16" s="3" t="s">
        <v>10</v>
      </c>
      <c r="T16" s="3" t="s">
        <v>56</v>
      </c>
      <c r="U16" s="4" t="s">
        <v>1036</v>
      </c>
      <c r="V16" s="8" t="s">
        <v>294</v>
      </c>
      <c r="W16" s="12">
        <v>46</v>
      </c>
      <c r="X16" s="9">
        <v>63988</v>
      </c>
      <c r="Y16" s="8">
        <v>15</v>
      </c>
      <c r="Z16" s="44">
        <v>7.7</v>
      </c>
      <c r="AA16" s="8">
        <v>99</v>
      </c>
      <c r="AB16" s="8">
        <v>5</v>
      </c>
      <c r="AC16" s="8">
        <v>127</v>
      </c>
      <c r="AD16" s="12">
        <v>17.09</v>
      </c>
      <c r="AE16" s="8">
        <v>4</v>
      </c>
      <c r="AF16" s="14">
        <v>5.681818181818182</v>
      </c>
      <c r="AG16" s="8" t="s">
        <v>387</v>
      </c>
      <c r="AH16" s="15" t="s">
        <v>947</v>
      </c>
      <c r="AI16" s="15" t="s">
        <v>306</v>
      </c>
      <c r="AJ16" s="16">
        <v>625.2680928114091</v>
      </c>
      <c r="AK16" s="16">
        <v>102.68585106256607</v>
      </c>
      <c r="AL16" s="17">
        <f>(374703/B16)*100</f>
        <v>63.586472328142264</v>
      </c>
      <c r="AM16" s="43">
        <v>0.18208630517529</v>
      </c>
      <c r="AN16" s="43">
        <v>0.1664740590652</v>
      </c>
    </row>
    <row r="17" spans="1:40" ht="12">
      <c r="A17" s="7" t="s">
        <v>824</v>
      </c>
      <c r="B17" s="8" t="s">
        <v>746</v>
      </c>
      <c r="C17" s="8" t="s">
        <v>480</v>
      </c>
      <c r="D17" s="9" t="s">
        <v>647</v>
      </c>
      <c r="E17" s="10">
        <f t="shared" si="0"/>
        <v>-3.548680618744313</v>
      </c>
      <c r="F17" s="9">
        <v>121000</v>
      </c>
      <c r="G17" s="9">
        <v>117000</v>
      </c>
      <c r="H17" s="10">
        <f t="shared" si="1"/>
        <v>3.418803418803419</v>
      </c>
      <c r="I17" s="11">
        <v>12.78</v>
      </c>
      <c r="J17" s="9">
        <v>87618</v>
      </c>
      <c r="K17" s="9" t="s">
        <v>1129</v>
      </c>
      <c r="L17" s="9" t="s">
        <v>1129</v>
      </c>
      <c r="M17" s="12">
        <v>36.7</v>
      </c>
      <c r="N17" s="12">
        <v>12.2</v>
      </c>
      <c r="O17" s="12">
        <v>468</v>
      </c>
      <c r="P17" s="12">
        <v>32.93</v>
      </c>
      <c r="Q17" s="12" t="s">
        <v>1129</v>
      </c>
      <c r="R17" s="2">
        <v>8480</v>
      </c>
      <c r="S17" s="3" t="s">
        <v>11</v>
      </c>
      <c r="T17" s="3" t="s">
        <v>119</v>
      </c>
      <c r="U17" s="4" t="s">
        <v>1022</v>
      </c>
      <c r="V17" s="1" t="s">
        <v>129</v>
      </c>
      <c r="W17" s="12">
        <v>91</v>
      </c>
      <c r="X17" s="2">
        <v>53766</v>
      </c>
      <c r="Y17" s="8">
        <v>17</v>
      </c>
      <c r="Z17" s="44">
        <v>0.9</v>
      </c>
      <c r="AA17" s="8">
        <v>100</v>
      </c>
      <c r="AB17" s="8">
        <v>5</v>
      </c>
      <c r="AC17" s="8">
        <v>4</v>
      </c>
      <c r="AD17" s="12">
        <v>14.76</v>
      </c>
      <c r="AE17" s="8">
        <v>0</v>
      </c>
      <c r="AF17" s="14">
        <v>0.09615384615384615</v>
      </c>
      <c r="AG17" s="8" t="s">
        <v>386</v>
      </c>
      <c r="AH17" s="15" t="s">
        <v>948</v>
      </c>
      <c r="AI17" s="15" t="s">
        <v>1130</v>
      </c>
      <c r="AJ17" s="16">
        <v>319.5764634393356</v>
      </c>
      <c r="AK17" s="16">
        <v>33.460198501114036</v>
      </c>
      <c r="AL17" s="17">
        <f>(3179/B17)*100</f>
        <v>64.39133076767267</v>
      </c>
      <c r="AM17" s="43">
        <v>0.0405104314360948</v>
      </c>
      <c r="AN17" s="43">
        <v>0.0405104314360948</v>
      </c>
    </row>
    <row r="18" spans="1:40" ht="12">
      <c r="A18" s="7" t="s">
        <v>825</v>
      </c>
      <c r="B18" s="8" t="s">
        <v>747</v>
      </c>
      <c r="C18" s="8" t="s">
        <v>481</v>
      </c>
      <c r="D18" s="9" t="s">
        <v>870</v>
      </c>
      <c r="E18" s="10">
        <f t="shared" si="0"/>
        <v>8.803418803418804</v>
      </c>
      <c r="F18" s="9" t="s">
        <v>1129</v>
      </c>
      <c r="G18" s="9">
        <v>277000</v>
      </c>
      <c r="H18" s="10" t="s">
        <v>1129</v>
      </c>
      <c r="I18" s="11">
        <v>11.59</v>
      </c>
      <c r="J18" s="9">
        <v>113212</v>
      </c>
      <c r="K18" s="9" t="s">
        <v>1129</v>
      </c>
      <c r="L18" s="9" t="s">
        <v>1129</v>
      </c>
      <c r="M18" s="12">
        <v>39.4</v>
      </c>
      <c r="N18" s="12">
        <v>3.2</v>
      </c>
      <c r="O18" s="12">
        <v>330</v>
      </c>
      <c r="P18" s="12">
        <v>25.43</v>
      </c>
      <c r="Q18" s="12" t="s">
        <v>1129</v>
      </c>
      <c r="R18" s="2">
        <v>9266</v>
      </c>
      <c r="S18" s="3" t="s">
        <v>12</v>
      </c>
      <c r="T18" s="3" t="s">
        <v>57</v>
      </c>
      <c r="U18" s="4" t="s">
        <v>1037</v>
      </c>
      <c r="V18" s="1" t="s">
        <v>1178</v>
      </c>
      <c r="W18" s="12">
        <v>93</v>
      </c>
      <c r="X18" s="2">
        <v>56147</v>
      </c>
      <c r="Y18" s="8">
        <v>16</v>
      </c>
      <c r="Z18" s="44">
        <v>0.7</v>
      </c>
      <c r="AA18" s="8">
        <v>100</v>
      </c>
      <c r="AB18" s="8">
        <v>2</v>
      </c>
      <c r="AC18" s="8">
        <v>9</v>
      </c>
      <c r="AD18" s="12">
        <v>16.1</v>
      </c>
      <c r="AE18" s="8">
        <v>0</v>
      </c>
      <c r="AF18" s="14">
        <v>0.041666666666666664</v>
      </c>
      <c r="AG18" s="8" t="s">
        <v>386</v>
      </c>
      <c r="AH18" s="15" t="s">
        <v>949</v>
      </c>
      <c r="AI18" s="15" t="s">
        <v>252</v>
      </c>
      <c r="AJ18" s="16">
        <v>150.41520968333538</v>
      </c>
      <c r="AK18" s="16">
        <v>41.36214696173126</v>
      </c>
      <c r="AL18" s="17">
        <f>(5743/B18)*100</f>
        <v>70.2164078738232</v>
      </c>
      <c r="AM18" s="43">
        <v>0.220075803888006</v>
      </c>
      <c r="AN18" s="43">
        <v>0.036679300648001</v>
      </c>
    </row>
    <row r="19" spans="1:40" ht="12">
      <c r="A19" s="7" t="s">
        <v>826</v>
      </c>
      <c r="B19" s="8" t="s">
        <v>748</v>
      </c>
      <c r="C19" s="8" t="s">
        <v>482</v>
      </c>
      <c r="D19" s="9" t="s">
        <v>648</v>
      </c>
      <c r="E19" s="10">
        <f t="shared" si="0"/>
        <v>32.34347048300536</v>
      </c>
      <c r="F19" s="9">
        <v>195000</v>
      </c>
      <c r="G19" s="9">
        <v>175500</v>
      </c>
      <c r="H19" s="10">
        <f t="shared" si="1"/>
        <v>11.11111111111111</v>
      </c>
      <c r="I19" s="11">
        <v>13.83</v>
      </c>
      <c r="J19" s="9">
        <v>67703</v>
      </c>
      <c r="K19" s="9">
        <v>255</v>
      </c>
      <c r="L19" s="9" t="s">
        <v>1129</v>
      </c>
      <c r="M19" s="12">
        <v>39.8</v>
      </c>
      <c r="N19" s="12">
        <v>3.6</v>
      </c>
      <c r="O19" s="12">
        <v>251</v>
      </c>
      <c r="P19" s="12">
        <v>45.49</v>
      </c>
      <c r="Q19" s="12" t="s">
        <v>1129</v>
      </c>
      <c r="R19" s="2">
        <v>8970</v>
      </c>
      <c r="S19" s="3" t="s">
        <v>13</v>
      </c>
      <c r="T19" s="3" t="s">
        <v>128</v>
      </c>
      <c r="U19" s="4" t="s">
        <v>1032</v>
      </c>
      <c r="V19" s="8" t="s">
        <v>702</v>
      </c>
      <c r="W19" s="12">
        <v>87</v>
      </c>
      <c r="X19" s="2">
        <v>36591</v>
      </c>
      <c r="Y19" s="8">
        <v>14</v>
      </c>
      <c r="Z19" s="44">
        <v>0</v>
      </c>
      <c r="AA19" s="8">
        <v>97</v>
      </c>
      <c r="AB19" s="8">
        <v>7</v>
      </c>
      <c r="AC19" s="8">
        <v>5</v>
      </c>
      <c r="AD19" s="12">
        <v>33.11</v>
      </c>
      <c r="AE19" s="8">
        <v>0</v>
      </c>
      <c r="AF19" s="14">
        <v>0.375</v>
      </c>
      <c r="AG19" s="8" t="s">
        <v>386</v>
      </c>
      <c r="AH19" s="15" t="s">
        <v>948</v>
      </c>
      <c r="AI19" s="15" t="s">
        <v>1140</v>
      </c>
      <c r="AJ19" s="16">
        <v>149.85908980287175</v>
      </c>
      <c r="AK19" s="16">
        <v>34.992942321732784</v>
      </c>
      <c r="AL19" s="17">
        <f>(2874/B19)*100</f>
        <v>69.94402531029448</v>
      </c>
      <c r="AM19" s="43">
        <v>0.121684108055488</v>
      </c>
      <c r="AN19" s="43">
        <v>0.219031394499878</v>
      </c>
    </row>
    <row r="20" spans="1:40" ht="12">
      <c r="A20" s="7" t="s">
        <v>827</v>
      </c>
      <c r="B20" s="8" t="s">
        <v>749</v>
      </c>
      <c r="C20" s="8" t="s">
        <v>483</v>
      </c>
      <c r="D20" s="9" t="s">
        <v>889</v>
      </c>
      <c r="E20" s="10">
        <f t="shared" si="0"/>
        <v>12.324973072780427</v>
      </c>
      <c r="F20" s="9">
        <v>261000</v>
      </c>
      <c r="G20" s="9">
        <v>277000</v>
      </c>
      <c r="H20" s="10">
        <f t="shared" si="1"/>
        <v>-5.776173285198556</v>
      </c>
      <c r="I20" s="11">
        <v>10.21</v>
      </c>
      <c r="J20" s="9">
        <v>61790</v>
      </c>
      <c r="K20" s="9">
        <v>190</v>
      </c>
      <c r="L20" s="9">
        <v>592</v>
      </c>
      <c r="M20" s="12">
        <v>40</v>
      </c>
      <c r="N20" s="12">
        <v>6.7</v>
      </c>
      <c r="O20" s="12">
        <v>2434</v>
      </c>
      <c r="P20" s="12">
        <v>11.79</v>
      </c>
      <c r="Q20" s="12">
        <v>20</v>
      </c>
      <c r="R20" s="9">
        <v>8351</v>
      </c>
      <c r="S20" s="3" t="s">
        <v>14</v>
      </c>
      <c r="T20" s="3" t="s">
        <v>58</v>
      </c>
      <c r="U20" s="4" t="s">
        <v>1037</v>
      </c>
      <c r="V20" s="8" t="s">
        <v>295</v>
      </c>
      <c r="W20" s="12">
        <v>82</v>
      </c>
      <c r="X20" s="9">
        <v>52744</v>
      </c>
      <c r="Y20" s="8">
        <v>15</v>
      </c>
      <c r="Z20" s="44">
        <v>1.4</v>
      </c>
      <c r="AA20" s="8">
        <v>39</v>
      </c>
      <c r="AB20" s="8">
        <v>7</v>
      </c>
      <c r="AC20" s="8">
        <v>44</v>
      </c>
      <c r="AD20" s="12">
        <v>21.3</v>
      </c>
      <c r="AE20" s="8">
        <v>3</v>
      </c>
      <c r="AF20" s="14">
        <v>0.7194244604316546</v>
      </c>
      <c r="AG20" s="8" t="s">
        <v>385</v>
      </c>
      <c r="AH20" s="15" t="s">
        <v>950</v>
      </c>
      <c r="AI20" s="15" t="s">
        <v>307</v>
      </c>
      <c r="AJ20" s="16">
        <v>344.7352949848159</v>
      </c>
      <c r="AK20" s="16">
        <v>56.30403632396733</v>
      </c>
      <c r="AL20" s="17">
        <f>(23930/B20)*100</f>
        <v>70.55458914408703</v>
      </c>
      <c r="AM20" s="43">
        <v>0.256508535542648</v>
      </c>
      <c r="AN20" s="43">
        <v>0.321372762921249</v>
      </c>
    </row>
    <row r="21" spans="1:40" ht="12">
      <c r="A21" s="7" t="s">
        <v>828</v>
      </c>
      <c r="B21" s="8" t="s">
        <v>750</v>
      </c>
      <c r="C21" s="8" t="s">
        <v>813</v>
      </c>
      <c r="D21" s="9" t="s">
        <v>443</v>
      </c>
      <c r="E21" s="10">
        <f t="shared" si="0"/>
        <v>9.565489215379806</v>
      </c>
      <c r="F21" s="9">
        <v>169000</v>
      </c>
      <c r="G21" s="9">
        <v>158700</v>
      </c>
      <c r="H21" s="10">
        <f t="shared" si="1"/>
        <v>6.490233144297417</v>
      </c>
      <c r="I21" s="11">
        <v>10.99</v>
      </c>
      <c r="J21" s="9">
        <v>65318</v>
      </c>
      <c r="K21" s="9">
        <v>208</v>
      </c>
      <c r="L21" s="9">
        <v>319</v>
      </c>
      <c r="M21" s="12">
        <v>33.6</v>
      </c>
      <c r="N21" s="12">
        <v>13.5</v>
      </c>
      <c r="O21" s="12">
        <v>916</v>
      </c>
      <c r="P21" s="12">
        <v>31.76</v>
      </c>
      <c r="Q21" s="12">
        <v>45</v>
      </c>
      <c r="R21" s="9">
        <v>6722</v>
      </c>
      <c r="S21" s="3" t="s">
        <v>16</v>
      </c>
      <c r="T21" s="3" t="s">
        <v>59</v>
      </c>
      <c r="U21" s="4" t="s">
        <v>919</v>
      </c>
      <c r="V21" s="1" t="s">
        <v>296</v>
      </c>
      <c r="W21" s="12">
        <v>86</v>
      </c>
      <c r="X21" s="9">
        <v>56390</v>
      </c>
      <c r="Y21" s="8">
        <v>18</v>
      </c>
      <c r="Z21" s="44">
        <v>0.1</v>
      </c>
      <c r="AA21" s="8">
        <v>96</v>
      </c>
      <c r="AB21" s="8">
        <v>5</v>
      </c>
      <c r="AC21" s="8">
        <v>41</v>
      </c>
      <c r="AD21" s="12">
        <v>8.95</v>
      </c>
      <c r="AE21" s="8">
        <v>1</v>
      </c>
      <c r="AF21" s="14">
        <v>0.5454545454545454</v>
      </c>
      <c r="AG21" s="8" t="s">
        <v>385</v>
      </c>
      <c r="AH21" s="15" t="s">
        <v>951</v>
      </c>
      <c r="AI21" s="15" t="s">
        <v>308</v>
      </c>
      <c r="AJ21" s="16">
        <v>204.92775175644027</v>
      </c>
      <c r="AK21" s="16">
        <v>44.46561280249805</v>
      </c>
      <c r="AL21" s="17">
        <f>(14636/B21)*100</f>
        <v>57.1272443403591</v>
      </c>
      <c r="AM21" s="43">
        <v>0.124902419984387</v>
      </c>
      <c r="AN21" s="43">
        <v>0.163934426229508</v>
      </c>
    </row>
    <row r="22" spans="1:40" ht="12">
      <c r="A22" s="7" t="s">
        <v>829</v>
      </c>
      <c r="B22" s="8" t="s">
        <v>751</v>
      </c>
      <c r="C22" s="8" t="s">
        <v>814</v>
      </c>
      <c r="D22" s="9" t="s">
        <v>444</v>
      </c>
      <c r="E22" s="10">
        <f t="shared" si="0"/>
        <v>8.742931709438887</v>
      </c>
      <c r="F22" s="9">
        <v>154000</v>
      </c>
      <c r="G22" s="9">
        <v>133000</v>
      </c>
      <c r="H22" s="10">
        <f t="shared" si="1"/>
        <v>15.789473684210526</v>
      </c>
      <c r="I22" s="11">
        <v>12.64</v>
      </c>
      <c r="J22" s="9">
        <v>39507</v>
      </c>
      <c r="K22" s="9">
        <v>252</v>
      </c>
      <c r="L22" s="9">
        <v>224</v>
      </c>
      <c r="M22" s="12">
        <v>34</v>
      </c>
      <c r="N22" s="12">
        <v>41.8</v>
      </c>
      <c r="O22" s="12">
        <v>4386</v>
      </c>
      <c r="P22" s="12">
        <v>24.23</v>
      </c>
      <c r="Q22" s="12">
        <v>34</v>
      </c>
      <c r="R22" s="9">
        <v>8641</v>
      </c>
      <c r="S22" s="3" t="s">
        <v>17</v>
      </c>
      <c r="T22" s="3" t="s">
        <v>60</v>
      </c>
      <c r="U22" s="4" t="s">
        <v>1153</v>
      </c>
      <c r="V22" s="8" t="s">
        <v>297</v>
      </c>
      <c r="W22" s="12">
        <v>78</v>
      </c>
      <c r="X22" s="9">
        <v>56177</v>
      </c>
      <c r="Y22" s="8">
        <v>14</v>
      </c>
      <c r="Z22" s="44">
        <v>5.9</v>
      </c>
      <c r="AA22" s="8">
        <v>72</v>
      </c>
      <c r="AB22" s="8">
        <v>6</v>
      </c>
      <c r="AC22" s="8">
        <v>161</v>
      </c>
      <c r="AD22" s="12">
        <v>12.08</v>
      </c>
      <c r="AE22" s="8">
        <v>5</v>
      </c>
      <c r="AF22" s="14">
        <v>1.302325581395349</v>
      </c>
      <c r="AG22" s="8" t="s">
        <v>385</v>
      </c>
      <c r="AH22" s="15" t="s">
        <v>952</v>
      </c>
      <c r="AI22" s="15" t="s">
        <v>309</v>
      </c>
      <c r="AJ22" s="16">
        <v>313.81229502184686</v>
      </c>
      <c r="AK22" s="16">
        <v>15.525320368410574</v>
      </c>
      <c r="AL22" s="17">
        <f>(50353/B22)*100</f>
        <v>52.76045977974999</v>
      </c>
      <c r="AM22" s="43">
        <v>0.220040445529512</v>
      </c>
      <c r="AN22" s="43">
        <v>0.232614185274055</v>
      </c>
    </row>
    <row r="23" spans="1:40" ht="12">
      <c r="A23" s="7" t="s">
        <v>830</v>
      </c>
      <c r="B23" s="8" t="s">
        <v>752</v>
      </c>
      <c r="C23" s="8" t="s">
        <v>815</v>
      </c>
      <c r="D23" s="9" t="s">
        <v>445</v>
      </c>
      <c r="E23" s="10">
        <f t="shared" si="0"/>
        <v>14.705882352941178</v>
      </c>
      <c r="F23" s="9">
        <v>425000</v>
      </c>
      <c r="G23" s="9">
        <v>392500</v>
      </c>
      <c r="H23" s="10">
        <f t="shared" si="1"/>
        <v>8.280254777070063</v>
      </c>
      <c r="I23" s="11">
        <v>11.21</v>
      </c>
      <c r="J23" s="9">
        <v>66711</v>
      </c>
      <c r="K23" s="9">
        <v>494</v>
      </c>
      <c r="L23" s="9">
        <v>600</v>
      </c>
      <c r="M23" s="12">
        <v>34.5</v>
      </c>
      <c r="N23" s="12">
        <v>21.3</v>
      </c>
      <c r="O23" s="12">
        <v>8398</v>
      </c>
      <c r="P23" s="12">
        <v>4.63</v>
      </c>
      <c r="Q23" s="12">
        <v>15</v>
      </c>
      <c r="R23" s="9">
        <v>10578</v>
      </c>
      <c r="S23" s="3" t="s">
        <v>18</v>
      </c>
      <c r="T23" s="3" t="s">
        <v>61</v>
      </c>
      <c r="U23" s="4" t="s">
        <v>628</v>
      </c>
      <c r="V23" s="1" t="s">
        <v>298</v>
      </c>
      <c r="W23" s="12">
        <v>85</v>
      </c>
      <c r="X23" s="9">
        <v>58343</v>
      </c>
      <c r="Y23" s="8">
        <v>12</v>
      </c>
      <c r="Z23" s="44">
        <v>0.7</v>
      </c>
      <c r="AA23" s="8">
        <v>97</v>
      </c>
      <c r="AB23" s="8">
        <v>4</v>
      </c>
      <c r="AC23" s="8">
        <v>58</v>
      </c>
      <c r="AD23" s="12">
        <v>11.5</v>
      </c>
      <c r="AE23" s="8">
        <v>2</v>
      </c>
      <c r="AF23" s="14">
        <v>1.3235294117647058</v>
      </c>
      <c r="AG23" s="8" t="s">
        <v>385</v>
      </c>
      <c r="AH23" s="15" t="s">
        <v>953</v>
      </c>
      <c r="AI23" s="15" t="s">
        <v>310</v>
      </c>
      <c r="AJ23" s="16">
        <v>367.73388623930424</v>
      </c>
      <c r="AK23" s="16">
        <v>85.85613339879366</v>
      </c>
      <c r="AL23" s="17">
        <f>(44200/B23)*100</f>
        <v>77.50035068031981</v>
      </c>
      <c r="AM23" s="43">
        <v>0.159559545518306</v>
      </c>
      <c r="AN23" s="43">
        <v>0.184107167905737</v>
      </c>
    </row>
    <row r="24" spans="1:40" ht="12">
      <c r="A24" s="7" t="s">
        <v>831</v>
      </c>
      <c r="B24" s="8" t="s">
        <v>753</v>
      </c>
      <c r="C24" s="8" t="s">
        <v>816</v>
      </c>
      <c r="D24" s="9" t="s">
        <v>593</v>
      </c>
      <c r="E24" s="10">
        <f t="shared" si="0"/>
        <v>9.305555555555555</v>
      </c>
      <c r="F24" s="9">
        <v>408950</v>
      </c>
      <c r="G24" s="9">
        <v>195500</v>
      </c>
      <c r="H24" s="10">
        <f t="shared" si="1"/>
        <v>109.18158567774935</v>
      </c>
      <c r="I24" s="11">
        <v>8.2</v>
      </c>
      <c r="J24" s="9">
        <v>75240</v>
      </c>
      <c r="K24" s="9">
        <v>135.9</v>
      </c>
      <c r="L24" s="9">
        <v>227.9</v>
      </c>
      <c r="M24" s="12">
        <v>38.3</v>
      </c>
      <c r="N24" s="12">
        <v>14.2</v>
      </c>
      <c r="O24" s="12">
        <v>1939</v>
      </c>
      <c r="P24" s="12">
        <v>16.67</v>
      </c>
      <c r="Q24" s="12" t="s">
        <v>1129</v>
      </c>
      <c r="R24" s="9">
        <v>9428</v>
      </c>
      <c r="S24" s="3" t="s">
        <v>19</v>
      </c>
      <c r="T24" s="3" t="s">
        <v>62</v>
      </c>
      <c r="U24" s="4" t="s">
        <v>1030</v>
      </c>
      <c r="V24" s="8" t="s">
        <v>299</v>
      </c>
      <c r="W24" s="12">
        <v>89</v>
      </c>
      <c r="X24" s="9">
        <v>55733</v>
      </c>
      <c r="Y24" s="8">
        <v>13</v>
      </c>
      <c r="Z24" s="44">
        <v>0.3</v>
      </c>
      <c r="AA24" s="8">
        <v>100</v>
      </c>
      <c r="AB24" s="8">
        <v>3</v>
      </c>
      <c r="AC24" s="8">
        <v>28</v>
      </c>
      <c r="AD24" s="12">
        <v>7.19</v>
      </c>
      <c r="AE24" s="8">
        <v>6</v>
      </c>
      <c r="AF24" s="14">
        <v>1.4406779661016949</v>
      </c>
      <c r="AG24" s="8" t="s">
        <v>386</v>
      </c>
      <c r="AH24" s="15" t="s">
        <v>954</v>
      </c>
      <c r="AI24" s="15" t="s">
        <v>311</v>
      </c>
      <c r="AJ24" s="16">
        <v>395.26606465122364</v>
      </c>
      <c r="AK24" s="16">
        <v>100.00017449722985</v>
      </c>
      <c r="AL24" s="17">
        <f>(15797/B24)*100</f>
        <v>68.9133185010688</v>
      </c>
      <c r="AM24" s="43">
        <v>0.191946952842124</v>
      </c>
      <c r="AN24" s="43">
        <v>0.130872922392357</v>
      </c>
    </row>
    <row r="25" spans="1:40" ht="12">
      <c r="A25" s="7" t="s">
        <v>832</v>
      </c>
      <c r="B25" s="8" t="s">
        <v>754</v>
      </c>
      <c r="C25" s="8" t="s">
        <v>817</v>
      </c>
      <c r="D25" s="9" t="s">
        <v>138</v>
      </c>
      <c r="E25" s="10">
        <f t="shared" si="0"/>
        <v>-2.380952380952381</v>
      </c>
      <c r="F25" s="9">
        <v>375000</v>
      </c>
      <c r="G25" s="9">
        <v>353000</v>
      </c>
      <c r="H25" s="10">
        <f t="shared" si="1"/>
        <v>6.232294617563739</v>
      </c>
      <c r="I25" s="11">
        <v>7.26</v>
      </c>
      <c r="J25" s="9">
        <v>47979</v>
      </c>
      <c r="K25" s="9">
        <v>327.6</v>
      </c>
      <c r="L25" s="9">
        <v>664.8</v>
      </c>
      <c r="M25" s="12">
        <v>30.4</v>
      </c>
      <c r="N25" s="12">
        <v>35.4</v>
      </c>
      <c r="O25" s="12">
        <v>15837</v>
      </c>
      <c r="P25" s="12">
        <v>3.01</v>
      </c>
      <c r="Q25" s="12">
        <v>11</v>
      </c>
      <c r="R25" s="9">
        <v>14840</v>
      </c>
      <c r="S25" s="3" t="s">
        <v>20</v>
      </c>
      <c r="T25" s="3" t="s">
        <v>63</v>
      </c>
      <c r="U25" s="4" t="s">
        <v>1152</v>
      </c>
      <c r="V25" s="1" t="s">
        <v>300</v>
      </c>
      <c r="W25" s="12">
        <v>83</v>
      </c>
      <c r="X25" s="9">
        <v>56450</v>
      </c>
      <c r="Y25" s="8">
        <v>10</v>
      </c>
      <c r="Z25" s="44">
        <v>0.5</v>
      </c>
      <c r="AA25" s="8">
        <v>100</v>
      </c>
      <c r="AB25" s="8">
        <v>4</v>
      </c>
      <c r="AC25" s="8">
        <v>121</v>
      </c>
      <c r="AD25" s="12">
        <v>11.53</v>
      </c>
      <c r="AE25" s="8">
        <v>0</v>
      </c>
      <c r="AF25" s="14">
        <v>7.96875</v>
      </c>
      <c r="AG25" s="8" t="s">
        <v>386</v>
      </c>
      <c r="AH25" s="15" t="s">
        <v>955</v>
      </c>
      <c r="AI25" s="15" t="s">
        <v>641</v>
      </c>
      <c r="AJ25" s="16">
        <v>375.6573811231055</v>
      </c>
      <c r="AK25" s="16">
        <v>107.24978636046637</v>
      </c>
      <c r="AL25" s="17">
        <f>(61852/B25)*100</f>
        <v>60.75417210997279</v>
      </c>
      <c r="AM25" s="43">
        <v>0.158142367420708</v>
      </c>
      <c r="AN25" s="43">
        <v>0.142426355751569</v>
      </c>
    </row>
    <row r="26" spans="1:40" ht="12">
      <c r="A26" s="7" t="s">
        <v>833</v>
      </c>
      <c r="B26" s="8" t="s">
        <v>755</v>
      </c>
      <c r="C26" s="8" t="s">
        <v>818</v>
      </c>
      <c r="D26" s="9" t="s">
        <v>578</v>
      </c>
      <c r="E26" s="10">
        <f t="shared" si="0"/>
        <v>9.876543209876543</v>
      </c>
      <c r="F26" s="9">
        <v>288950</v>
      </c>
      <c r="G26" s="9">
        <v>219900</v>
      </c>
      <c r="H26" s="10">
        <f t="shared" si="1"/>
        <v>31.4006366530241</v>
      </c>
      <c r="I26" s="11">
        <v>12.56</v>
      </c>
      <c r="J26" s="9">
        <v>69260</v>
      </c>
      <c r="K26" s="9">
        <v>313.8</v>
      </c>
      <c r="L26" s="9">
        <v>540</v>
      </c>
      <c r="M26" s="12">
        <v>39.8</v>
      </c>
      <c r="N26" s="12">
        <v>8.4</v>
      </c>
      <c r="O26" s="12">
        <v>1099</v>
      </c>
      <c r="P26" s="12">
        <v>19.76</v>
      </c>
      <c r="Q26" s="12">
        <v>27</v>
      </c>
      <c r="R26" s="9">
        <v>8614</v>
      </c>
      <c r="S26" s="3" t="s">
        <v>21</v>
      </c>
      <c r="T26" s="3" t="s">
        <v>64</v>
      </c>
      <c r="U26" s="4" t="s">
        <v>1151</v>
      </c>
      <c r="V26" s="8" t="s">
        <v>301</v>
      </c>
      <c r="W26" s="12">
        <v>92</v>
      </c>
      <c r="X26" s="9">
        <v>54892</v>
      </c>
      <c r="Y26" s="8">
        <v>14</v>
      </c>
      <c r="Z26" s="44">
        <v>1.4</v>
      </c>
      <c r="AA26" s="8">
        <v>100</v>
      </c>
      <c r="AB26" s="8">
        <v>3</v>
      </c>
      <c r="AC26" s="8">
        <v>37</v>
      </c>
      <c r="AD26" s="12">
        <v>23.78</v>
      </c>
      <c r="AE26" s="8">
        <v>5</v>
      </c>
      <c r="AF26" s="14">
        <v>0.7407407407407408</v>
      </c>
      <c r="AG26" s="8" t="s">
        <v>385</v>
      </c>
      <c r="AH26" s="15" t="s">
        <v>954</v>
      </c>
      <c r="AI26" s="15" t="s">
        <v>642</v>
      </c>
      <c r="AJ26" s="16">
        <v>289.1543507801884</v>
      </c>
      <c r="AK26" s="16">
        <v>53.39688861815285</v>
      </c>
      <c r="AL26" s="17">
        <f>(14897/B26)*100</f>
        <v>69.80460147134625</v>
      </c>
      <c r="AM26" s="43">
        <v>0.243662433812848</v>
      </c>
      <c r="AN26" s="43">
        <v>0.257719881917436</v>
      </c>
    </row>
    <row r="27" spans="1:40" ht="12">
      <c r="A27" s="7" t="s">
        <v>834</v>
      </c>
      <c r="B27" s="8" t="s">
        <v>756</v>
      </c>
      <c r="C27" s="8" t="s">
        <v>819</v>
      </c>
      <c r="D27" s="9" t="s">
        <v>139</v>
      </c>
      <c r="E27" s="10">
        <f t="shared" si="0"/>
        <v>2.097902097902098</v>
      </c>
      <c r="F27" s="9" t="s">
        <v>1129</v>
      </c>
      <c r="G27" s="9" t="s">
        <v>1129</v>
      </c>
      <c r="H27" s="10" t="s">
        <v>1129</v>
      </c>
      <c r="I27" s="11">
        <v>15.05</v>
      </c>
      <c r="J27" s="9">
        <v>129811</v>
      </c>
      <c r="K27" s="9" t="s">
        <v>1129</v>
      </c>
      <c r="L27" s="9" t="s">
        <v>1129</v>
      </c>
      <c r="M27" s="12">
        <v>41.9</v>
      </c>
      <c r="N27" s="12">
        <v>7.5</v>
      </c>
      <c r="O27" s="12">
        <v>306</v>
      </c>
      <c r="P27" s="12">
        <v>25.71</v>
      </c>
      <c r="Q27" s="12" t="s">
        <v>1129</v>
      </c>
      <c r="R27" s="2">
        <v>10806</v>
      </c>
      <c r="S27" s="3" t="s">
        <v>22</v>
      </c>
      <c r="T27" s="3" t="s">
        <v>65</v>
      </c>
      <c r="U27" s="4" t="s">
        <v>1149</v>
      </c>
      <c r="V27" s="8" t="s">
        <v>302</v>
      </c>
      <c r="W27" s="12">
        <v>93</v>
      </c>
      <c r="X27" s="2">
        <v>60230</v>
      </c>
      <c r="Y27" s="8">
        <v>13</v>
      </c>
      <c r="Z27" s="44">
        <v>0.2</v>
      </c>
      <c r="AA27" s="8">
        <v>100</v>
      </c>
      <c r="AB27" s="8">
        <v>4</v>
      </c>
      <c r="AC27" s="8">
        <v>6</v>
      </c>
      <c r="AD27" s="12">
        <v>26.66</v>
      </c>
      <c r="AE27" s="8">
        <v>0</v>
      </c>
      <c r="AF27" s="14">
        <v>0.06493506493506493</v>
      </c>
      <c r="AG27" s="8" t="s">
        <v>386</v>
      </c>
      <c r="AH27" s="15" t="s">
        <v>948</v>
      </c>
      <c r="AI27" s="15" t="s">
        <v>1131</v>
      </c>
      <c r="AJ27" s="16">
        <v>211.3261855670103</v>
      </c>
      <c r="AK27" s="16">
        <v>96.87711340206185</v>
      </c>
      <c r="AL27" s="17">
        <f>(3511/B27)*100</f>
        <v>72.3917525773196</v>
      </c>
      <c r="AM27" s="43">
        <v>0.0824742268041237</v>
      </c>
      <c r="AN27" s="43">
        <v>0</v>
      </c>
    </row>
    <row r="28" spans="1:40" ht="12">
      <c r="A28" s="7" t="s">
        <v>835</v>
      </c>
      <c r="B28" s="8" t="s">
        <v>757</v>
      </c>
      <c r="C28" s="18">
        <v>305500</v>
      </c>
      <c r="D28" s="9">
        <v>274450</v>
      </c>
      <c r="E28" s="10">
        <f t="shared" si="0"/>
        <v>11.313536163235561</v>
      </c>
      <c r="F28" s="9" t="s">
        <v>1129</v>
      </c>
      <c r="G28" s="9" t="s">
        <v>1129</v>
      </c>
      <c r="H28" s="10" t="s">
        <v>1129</v>
      </c>
      <c r="I28" s="11">
        <v>14.64</v>
      </c>
      <c r="J28" s="9">
        <v>53506</v>
      </c>
      <c r="K28" s="9" t="s">
        <v>1129</v>
      </c>
      <c r="L28" s="9" t="s">
        <v>1129</v>
      </c>
      <c r="M28" s="12">
        <v>37.4</v>
      </c>
      <c r="N28" s="12">
        <v>4.7</v>
      </c>
      <c r="O28" s="12">
        <v>298</v>
      </c>
      <c r="P28" s="12">
        <v>45.1</v>
      </c>
      <c r="Q28" s="12" t="s">
        <v>1129</v>
      </c>
      <c r="R28" s="9">
        <v>7458</v>
      </c>
      <c r="S28" s="3" t="s">
        <v>23</v>
      </c>
      <c r="T28" s="3" t="s">
        <v>66</v>
      </c>
      <c r="U28" s="4" t="s">
        <v>1148</v>
      </c>
      <c r="V28" s="8" t="s">
        <v>303</v>
      </c>
      <c r="W28" s="12">
        <v>74</v>
      </c>
      <c r="X28" s="9">
        <v>45072</v>
      </c>
      <c r="Y28" s="8">
        <v>13</v>
      </c>
      <c r="Z28" s="44">
        <v>2.7</v>
      </c>
      <c r="AA28" s="8">
        <v>100</v>
      </c>
      <c r="AB28" s="8">
        <v>6</v>
      </c>
      <c r="AC28" s="8">
        <v>14</v>
      </c>
      <c r="AD28" s="12">
        <v>11.3</v>
      </c>
      <c r="AE28" s="8">
        <v>1</v>
      </c>
      <c r="AF28" s="14">
        <v>0.26666666666666666</v>
      </c>
      <c r="AG28" s="8" t="s">
        <v>385</v>
      </c>
      <c r="AH28" s="15" t="s">
        <v>943</v>
      </c>
      <c r="AI28" s="15" t="s">
        <v>643</v>
      </c>
      <c r="AJ28" s="16">
        <v>155.48940437777972</v>
      </c>
      <c r="AK28" s="16">
        <v>31.37019272695561</v>
      </c>
      <c r="AL28" s="17">
        <f>(8208/B28)*100</f>
        <v>71.57931455480944</v>
      </c>
      <c r="AM28" s="43">
        <v>0.244178948286387</v>
      </c>
      <c r="AN28" s="43">
        <v>0.218016918112846</v>
      </c>
    </row>
    <row r="29" spans="1:40" ht="12.75" customHeight="1">
      <c r="A29" s="7" t="s">
        <v>507</v>
      </c>
      <c r="B29" s="8" t="s">
        <v>393</v>
      </c>
      <c r="C29" s="8" t="s">
        <v>820</v>
      </c>
      <c r="D29" s="9" t="s">
        <v>140</v>
      </c>
      <c r="E29" s="10">
        <f t="shared" si="0"/>
        <v>6.092755380418309</v>
      </c>
      <c r="F29" s="9">
        <v>254500</v>
      </c>
      <c r="G29" s="9">
        <v>231000</v>
      </c>
      <c r="H29" s="10">
        <f t="shared" si="1"/>
        <v>10.173160173160174</v>
      </c>
      <c r="I29" s="11">
        <v>14.05</v>
      </c>
      <c r="J29" s="9">
        <v>70207</v>
      </c>
      <c r="K29" s="2" t="s">
        <v>1182</v>
      </c>
      <c r="L29" s="9">
        <v>194</v>
      </c>
      <c r="M29" s="12">
        <v>38.9</v>
      </c>
      <c r="N29" s="12">
        <v>7.6</v>
      </c>
      <c r="O29" s="12">
        <v>1498</v>
      </c>
      <c r="P29" s="12">
        <v>30.14</v>
      </c>
      <c r="Q29" s="12" t="s">
        <v>1129</v>
      </c>
      <c r="R29" s="9">
        <v>7350</v>
      </c>
      <c r="S29" s="3" t="s">
        <v>24</v>
      </c>
      <c r="T29" s="3" t="s">
        <v>67</v>
      </c>
      <c r="U29" s="4" t="s">
        <v>1145</v>
      </c>
      <c r="V29" s="1" t="s">
        <v>304</v>
      </c>
      <c r="W29" s="12">
        <v>91</v>
      </c>
      <c r="X29" s="9">
        <v>51805</v>
      </c>
      <c r="Y29" s="8">
        <v>15</v>
      </c>
      <c r="Z29" s="44">
        <v>0.7</v>
      </c>
      <c r="AA29" s="8">
        <v>100</v>
      </c>
      <c r="AB29" s="8">
        <v>5</v>
      </c>
      <c r="AC29" s="8">
        <v>53</v>
      </c>
      <c r="AD29" s="12">
        <v>6.82</v>
      </c>
      <c r="AE29" s="8">
        <v>2</v>
      </c>
      <c r="AF29" s="14">
        <v>0.48672566371681414</v>
      </c>
      <c r="AG29" s="8" t="s">
        <v>386</v>
      </c>
      <c r="AH29" s="15" t="s">
        <v>1132</v>
      </c>
      <c r="AI29" s="15" t="s">
        <v>644</v>
      </c>
      <c r="AJ29" s="16">
        <v>245.7293584728064</v>
      </c>
      <c r="AK29" s="16">
        <v>45.890813895343705</v>
      </c>
      <c r="AL29" s="17">
        <f>(22964/B29)*100</f>
        <v>67.54713651204518</v>
      </c>
      <c r="AM29" s="43">
        <v>0.182369032561697</v>
      </c>
      <c r="AN29" s="43">
        <v>0.220607700679472</v>
      </c>
    </row>
    <row r="30" spans="1:40" ht="12">
      <c r="A30" s="7" t="s">
        <v>508</v>
      </c>
      <c r="B30" s="8" t="s">
        <v>394</v>
      </c>
      <c r="C30" s="18">
        <v>302500</v>
      </c>
      <c r="D30" s="9">
        <v>275000</v>
      </c>
      <c r="E30" s="10">
        <f t="shared" si="0"/>
        <v>10</v>
      </c>
      <c r="F30" s="9">
        <v>230000</v>
      </c>
      <c r="G30" s="9">
        <v>200000</v>
      </c>
      <c r="H30" s="10">
        <f t="shared" si="1"/>
        <v>15</v>
      </c>
      <c r="I30" s="11">
        <v>10.04</v>
      </c>
      <c r="J30" s="9">
        <v>30161</v>
      </c>
      <c r="K30" s="9">
        <v>333.6</v>
      </c>
      <c r="L30" s="9">
        <v>561.6</v>
      </c>
      <c r="M30" s="12">
        <v>31.3</v>
      </c>
      <c r="N30" s="12">
        <v>61.7</v>
      </c>
      <c r="O30" s="12">
        <v>15946</v>
      </c>
      <c r="P30" s="12">
        <v>5</v>
      </c>
      <c r="Q30" s="12">
        <v>13</v>
      </c>
      <c r="R30" s="9">
        <v>8291</v>
      </c>
      <c r="S30" s="3" t="s">
        <v>25</v>
      </c>
      <c r="T30" s="3" t="s">
        <v>68</v>
      </c>
      <c r="U30" s="4" t="s">
        <v>1150</v>
      </c>
      <c r="V30" s="1" t="s">
        <v>714</v>
      </c>
      <c r="W30" s="12">
        <v>52</v>
      </c>
      <c r="X30" s="9">
        <v>44356</v>
      </c>
      <c r="Y30" s="8">
        <v>12</v>
      </c>
      <c r="Z30" s="44">
        <v>8.3</v>
      </c>
      <c r="AA30" s="8">
        <v>100</v>
      </c>
      <c r="AB30" s="8">
        <v>4</v>
      </c>
      <c r="AC30" s="8">
        <v>85</v>
      </c>
      <c r="AD30" s="12">
        <v>6.7</v>
      </c>
      <c r="AE30" s="8">
        <v>2</v>
      </c>
      <c r="AF30" s="14">
        <v>7.727272727272727</v>
      </c>
      <c r="AG30" s="8" t="s">
        <v>387</v>
      </c>
      <c r="AH30" s="15" t="s">
        <v>956</v>
      </c>
      <c r="AI30" s="15" t="s">
        <v>645</v>
      </c>
      <c r="AJ30" s="16">
        <v>347.3747887606336</v>
      </c>
      <c r="AK30" s="16">
        <v>10.083149543150116</v>
      </c>
      <c r="AL30" s="17">
        <f>(12480/B30)*100</f>
        <v>35.74599719302265</v>
      </c>
      <c r="AM30" s="43">
        <v>0.220548219860797</v>
      </c>
      <c r="AN30" s="43">
        <v>0.197634119096039</v>
      </c>
    </row>
    <row r="31" spans="1:40" ht="12">
      <c r="A31" s="7" t="s">
        <v>509</v>
      </c>
      <c r="B31" s="8" t="s">
        <v>395</v>
      </c>
      <c r="C31" s="8" t="s">
        <v>821</v>
      </c>
      <c r="D31" s="9" t="s">
        <v>469</v>
      </c>
      <c r="E31" s="10">
        <f t="shared" si="0"/>
        <v>5.15695067264574</v>
      </c>
      <c r="F31" s="9">
        <v>242000</v>
      </c>
      <c r="G31" s="9">
        <v>212900</v>
      </c>
      <c r="H31" s="10">
        <f t="shared" si="1"/>
        <v>13.66838891498356</v>
      </c>
      <c r="I31" s="11">
        <v>13.43</v>
      </c>
      <c r="J31" s="9">
        <v>44740</v>
      </c>
      <c r="K31" s="9">
        <v>216</v>
      </c>
      <c r="L31" s="9">
        <v>162</v>
      </c>
      <c r="M31" s="12">
        <v>37.1</v>
      </c>
      <c r="N31" s="12">
        <v>16.3</v>
      </c>
      <c r="O31" s="12">
        <v>2357</v>
      </c>
      <c r="P31" s="12">
        <v>45</v>
      </c>
      <c r="Q31" s="12" t="s">
        <v>1129</v>
      </c>
      <c r="R31" s="9">
        <v>7635</v>
      </c>
      <c r="S31" s="3" t="s">
        <v>26</v>
      </c>
      <c r="T31" s="3" t="s">
        <v>69</v>
      </c>
      <c r="U31" s="4" t="s">
        <v>923</v>
      </c>
      <c r="V31" s="1" t="s">
        <v>305</v>
      </c>
      <c r="W31" s="12">
        <v>86</v>
      </c>
      <c r="X31" s="9">
        <v>33460</v>
      </c>
      <c r="Y31" s="8">
        <v>14</v>
      </c>
      <c r="Z31" s="44">
        <v>1.1</v>
      </c>
      <c r="AA31" s="8">
        <v>100</v>
      </c>
      <c r="AB31" s="8">
        <v>3</v>
      </c>
      <c r="AC31" s="8">
        <v>30</v>
      </c>
      <c r="AD31" s="12">
        <v>18.03</v>
      </c>
      <c r="AE31" s="8">
        <v>2</v>
      </c>
      <c r="AF31" s="14">
        <v>1.9298245614035088</v>
      </c>
      <c r="AG31" s="8" t="s">
        <v>386</v>
      </c>
      <c r="AH31" s="15" t="s">
        <v>1134</v>
      </c>
      <c r="AI31" s="15" t="s">
        <v>646</v>
      </c>
      <c r="AJ31" s="16">
        <v>241.3875336780019</v>
      </c>
      <c r="AK31" s="16">
        <v>42.112721182552974</v>
      </c>
      <c r="AL31" s="17">
        <f>(8968/B31)*100</f>
        <v>65.30255588727881</v>
      </c>
      <c r="AM31" s="43">
        <v>0.298550935702323</v>
      </c>
      <c r="AN31" s="43">
        <v>0.283987475424161</v>
      </c>
    </row>
    <row r="32" spans="1:40" ht="12">
      <c r="A32" s="7" t="s">
        <v>510</v>
      </c>
      <c r="B32" s="8" t="s">
        <v>396</v>
      </c>
      <c r="C32" s="8" t="s">
        <v>822</v>
      </c>
      <c r="D32" s="9" t="s">
        <v>470</v>
      </c>
      <c r="E32" s="10">
        <f t="shared" si="0"/>
        <v>0.7380073800738007</v>
      </c>
      <c r="F32" s="9">
        <v>430000</v>
      </c>
      <c r="G32" s="9">
        <v>393250</v>
      </c>
      <c r="H32" s="10">
        <f t="shared" si="1"/>
        <v>9.345200254291164</v>
      </c>
      <c r="I32" s="11">
        <v>11.99</v>
      </c>
      <c r="J32" s="9">
        <v>84156</v>
      </c>
      <c r="K32" s="9">
        <v>665</v>
      </c>
      <c r="L32" s="9">
        <v>586</v>
      </c>
      <c r="M32" s="12">
        <v>40.9</v>
      </c>
      <c r="N32" s="12">
        <v>2.2</v>
      </c>
      <c r="O32" s="12">
        <v>733</v>
      </c>
      <c r="P32" s="12">
        <v>20.33</v>
      </c>
      <c r="Q32" s="12" t="s">
        <v>1129</v>
      </c>
      <c r="R32" s="9">
        <v>8605</v>
      </c>
      <c r="S32" s="3" t="s">
        <v>142</v>
      </c>
      <c r="T32" s="3" t="s">
        <v>70</v>
      </c>
      <c r="U32" s="4" t="s">
        <v>624</v>
      </c>
      <c r="V32" s="8" t="s">
        <v>797</v>
      </c>
      <c r="W32" s="12">
        <v>91</v>
      </c>
      <c r="X32" s="9">
        <v>50448</v>
      </c>
      <c r="Y32" s="8">
        <v>13</v>
      </c>
      <c r="Z32" s="44">
        <v>0</v>
      </c>
      <c r="AA32" s="8">
        <v>100</v>
      </c>
      <c r="AB32" s="8">
        <v>2</v>
      </c>
      <c r="AC32" s="8">
        <v>6</v>
      </c>
      <c r="AD32" s="12">
        <v>25.36</v>
      </c>
      <c r="AE32" s="8">
        <v>1</v>
      </c>
      <c r="AF32" s="14">
        <v>0.40404040404040403</v>
      </c>
      <c r="AG32" s="8" t="s">
        <v>385</v>
      </c>
      <c r="AH32" s="15" t="s">
        <v>957</v>
      </c>
      <c r="AI32" s="15" t="s">
        <v>989</v>
      </c>
      <c r="AJ32" s="16">
        <v>424.33118927056245</v>
      </c>
      <c r="AK32" s="16">
        <v>61.57807581770905</v>
      </c>
      <c r="AL32" s="17">
        <f>(5331/B32)*100</f>
        <v>72.95743807308061</v>
      </c>
      <c r="AM32" s="43">
        <v>0.287395648008759</v>
      </c>
      <c r="AN32" s="43">
        <v>0.301081155056795</v>
      </c>
    </row>
    <row r="33" spans="1:40" ht="12">
      <c r="A33" s="7" t="s">
        <v>511</v>
      </c>
      <c r="B33" s="8" t="s">
        <v>397</v>
      </c>
      <c r="C33" s="8" t="s">
        <v>823</v>
      </c>
      <c r="D33" s="9" t="s">
        <v>471</v>
      </c>
      <c r="E33" s="10">
        <f t="shared" si="0"/>
        <v>7.525837248067889</v>
      </c>
      <c r="F33" s="9">
        <v>395000</v>
      </c>
      <c r="G33" s="9">
        <v>390000</v>
      </c>
      <c r="H33" s="10">
        <f t="shared" si="1"/>
        <v>1.282051282051282</v>
      </c>
      <c r="I33" s="11">
        <v>9.64</v>
      </c>
      <c r="J33" s="9">
        <v>95897</v>
      </c>
      <c r="K33" s="9">
        <v>376</v>
      </c>
      <c r="L33" s="9">
        <v>764</v>
      </c>
      <c r="M33" s="12">
        <v>42.2</v>
      </c>
      <c r="N33" s="12">
        <v>9.2</v>
      </c>
      <c r="O33" s="12">
        <v>682</v>
      </c>
      <c r="P33" s="12">
        <v>19.82</v>
      </c>
      <c r="Q33" s="12">
        <v>42</v>
      </c>
      <c r="R33" s="2">
        <v>10806</v>
      </c>
      <c r="S33" s="3" t="s">
        <v>143</v>
      </c>
      <c r="T33" s="3" t="s">
        <v>71</v>
      </c>
      <c r="U33" s="4" t="s">
        <v>1149</v>
      </c>
      <c r="V33" s="8" t="s">
        <v>302</v>
      </c>
      <c r="W33" s="12">
        <v>93</v>
      </c>
      <c r="X33" s="2">
        <v>60230</v>
      </c>
      <c r="Y33" s="8">
        <v>13</v>
      </c>
      <c r="Z33" s="44">
        <v>0.2</v>
      </c>
      <c r="AA33" s="8">
        <v>100</v>
      </c>
      <c r="AB33" s="8">
        <v>4</v>
      </c>
      <c r="AC33" s="8">
        <v>18</v>
      </c>
      <c r="AD33" s="12">
        <v>30.36</v>
      </c>
      <c r="AE33" s="8">
        <v>0</v>
      </c>
      <c r="AF33" s="14">
        <v>0.321285140562249</v>
      </c>
      <c r="AG33" s="8" t="s">
        <v>386</v>
      </c>
      <c r="AH33" s="15" t="s">
        <v>958</v>
      </c>
      <c r="AI33" s="15" t="s">
        <v>990</v>
      </c>
      <c r="AJ33" s="16">
        <v>294.0250763448438</v>
      </c>
      <c r="AK33" s="16">
        <v>114.30532064834391</v>
      </c>
      <c r="AL33" s="17">
        <f>(11920/B33)*100</f>
        <v>70.00234907211652</v>
      </c>
      <c r="AM33" s="43">
        <v>0.293634014564247</v>
      </c>
      <c r="AN33" s="43">
        <v>0.211416490486258</v>
      </c>
    </row>
    <row r="34" spans="1:40" ht="12">
      <c r="A34" s="7" t="s">
        <v>512</v>
      </c>
      <c r="B34" s="8" t="s">
        <v>398</v>
      </c>
      <c r="C34" s="8" t="s">
        <v>809</v>
      </c>
      <c r="D34" s="9" t="s">
        <v>472</v>
      </c>
      <c r="E34" s="10">
        <f t="shared" si="0"/>
        <v>4.888701042547196</v>
      </c>
      <c r="F34" s="9">
        <v>275000</v>
      </c>
      <c r="G34" s="9">
        <v>275500</v>
      </c>
      <c r="H34" s="10">
        <f t="shared" si="1"/>
        <v>-0.18148820326678766</v>
      </c>
      <c r="I34" s="11">
        <v>12.51</v>
      </c>
      <c r="J34" s="9">
        <v>58779</v>
      </c>
      <c r="K34" s="9">
        <v>361</v>
      </c>
      <c r="L34" s="9">
        <v>516</v>
      </c>
      <c r="M34" s="12">
        <v>40.4</v>
      </c>
      <c r="N34" s="12">
        <v>2.8</v>
      </c>
      <c r="O34" s="12">
        <v>1896</v>
      </c>
      <c r="P34" s="12">
        <v>21.81</v>
      </c>
      <c r="Q34" s="12" t="s">
        <v>1129</v>
      </c>
      <c r="R34" s="9">
        <v>7526</v>
      </c>
      <c r="S34" s="3" t="s">
        <v>144</v>
      </c>
      <c r="T34" s="3" t="s">
        <v>72</v>
      </c>
      <c r="U34" s="4" t="s">
        <v>1148</v>
      </c>
      <c r="V34" s="1" t="s">
        <v>798</v>
      </c>
      <c r="W34" s="12">
        <v>88</v>
      </c>
      <c r="X34" s="9">
        <v>54023</v>
      </c>
      <c r="Y34" s="8">
        <v>14</v>
      </c>
      <c r="Z34" s="44">
        <v>1</v>
      </c>
      <c r="AA34" s="8">
        <v>100</v>
      </c>
      <c r="AB34" s="8">
        <v>7</v>
      </c>
      <c r="AC34" s="8">
        <v>44</v>
      </c>
      <c r="AD34" s="12">
        <v>10.25</v>
      </c>
      <c r="AE34" s="8">
        <v>1</v>
      </c>
      <c r="AF34" s="14">
        <v>0.7518796992481203</v>
      </c>
      <c r="AG34" s="8" t="s">
        <v>386</v>
      </c>
      <c r="AH34" s="15" t="s">
        <v>959</v>
      </c>
      <c r="AI34" s="15" t="s">
        <v>991</v>
      </c>
      <c r="AJ34" s="16">
        <v>276.9737876287039</v>
      </c>
      <c r="AK34" s="16">
        <v>52.49642379941837</v>
      </c>
      <c r="AL34" s="17">
        <f>(16595/B34)*100</f>
        <v>65.21653698027194</v>
      </c>
      <c r="AM34" s="43">
        <v>0.247583117189342</v>
      </c>
      <c r="AN34" s="43">
        <v>0.255442898687416</v>
      </c>
    </row>
    <row r="35" spans="1:40" ht="12">
      <c r="A35" s="7" t="s">
        <v>513</v>
      </c>
      <c r="B35" s="8" t="s">
        <v>399</v>
      </c>
      <c r="C35" s="8" t="s">
        <v>476</v>
      </c>
      <c r="D35" s="9" t="s">
        <v>765</v>
      </c>
      <c r="E35" s="10">
        <f t="shared" si="0"/>
        <v>9.48905109489051</v>
      </c>
      <c r="F35" s="9">
        <v>315000</v>
      </c>
      <c r="G35" s="9">
        <v>278000</v>
      </c>
      <c r="H35" s="10">
        <f t="shared" si="1"/>
        <v>13.309352517985612</v>
      </c>
      <c r="I35" s="11">
        <v>14.03</v>
      </c>
      <c r="J35" s="9">
        <v>61699</v>
      </c>
      <c r="K35" s="9">
        <v>502.44</v>
      </c>
      <c r="L35" s="9">
        <v>878.4</v>
      </c>
      <c r="M35" s="12">
        <v>39.6</v>
      </c>
      <c r="N35" s="12">
        <v>6.8</v>
      </c>
      <c r="O35" s="12">
        <v>2235</v>
      </c>
      <c r="P35" s="12">
        <v>12.41</v>
      </c>
      <c r="Q35" s="12">
        <v>28</v>
      </c>
      <c r="R35" s="9">
        <v>8761</v>
      </c>
      <c r="S35" s="3" t="s">
        <v>145</v>
      </c>
      <c r="T35" s="3" t="s">
        <v>73</v>
      </c>
      <c r="U35" s="4" t="s">
        <v>1147</v>
      </c>
      <c r="V35" s="1" t="s">
        <v>799</v>
      </c>
      <c r="W35" s="12">
        <v>89</v>
      </c>
      <c r="X35" s="9">
        <v>53142</v>
      </c>
      <c r="Y35" s="8">
        <v>13</v>
      </c>
      <c r="Z35" s="44">
        <v>3.4</v>
      </c>
      <c r="AA35" s="8">
        <v>100</v>
      </c>
      <c r="AB35" s="8">
        <v>3</v>
      </c>
      <c r="AC35" s="8">
        <v>40</v>
      </c>
      <c r="AD35" s="12">
        <v>19.41</v>
      </c>
      <c r="AE35" s="8">
        <v>0</v>
      </c>
      <c r="AF35" s="14">
        <v>0.9523809523809523</v>
      </c>
      <c r="AG35" s="8" t="s">
        <v>385</v>
      </c>
      <c r="AH35" s="15" t="s">
        <v>939</v>
      </c>
      <c r="AI35" s="15" t="s">
        <v>1154</v>
      </c>
      <c r="AJ35" s="16">
        <v>334.8043031910343</v>
      </c>
      <c r="AK35" s="16">
        <v>65.54012319274531</v>
      </c>
      <c r="AL35" s="17">
        <f>(15641/B35)*100</f>
        <v>66.90478227393277</v>
      </c>
      <c r="AM35" s="43">
        <v>0.209598768072547</v>
      </c>
      <c r="AN35" s="43">
        <v>0.256651552741894</v>
      </c>
    </row>
    <row r="36" spans="1:40" ht="12">
      <c r="A36" s="7" t="s">
        <v>514</v>
      </c>
      <c r="B36" s="8" t="s">
        <v>400</v>
      </c>
      <c r="C36" s="8" t="s">
        <v>856</v>
      </c>
      <c r="D36" s="9" t="s">
        <v>766</v>
      </c>
      <c r="E36" s="10">
        <f t="shared" si="0"/>
        <v>17.163684559310802</v>
      </c>
      <c r="F36" s="9">
        <v>495000</v>
      </c>
      <c r="G36" s="9">
        <v>430750</v>
      </c>
      <c r="H36" s="10">
        <f t="shared" si="1"/>
        <v>14.915844457341846</v>
      </c>
      <c r="I36" s="11">
        <v>9.18</v>
      </c>
      <c r="J36" s="9">
        <v>141818</v>
      </c>
      <c r="K36" s="9">
        <v>692</v>
      </c>
      <c r="L36" s="9" t="s">
        <v>1129</v>
      </c>
      <c r="M36" s="12">
        <v>40.2</v>
      </c>
      <c r="N36" s="12">
        <v>5.9</v>
      </c>
      <c r="O36" s="12">
        <v>363</v>
      </c>
      <c r="P36" s="12">
        <v>20.85</v>
      </c>
      <c r="Q36" s="12" t="s">
        <v>1129</v>
      </c>
      <c r="R36" s="2">
        <v>12275</v>
      </c>
      <c r="S36" s="3" t="s">
        <v>146</v>
      </c>
      <c r="T36" s="3" t="s">
        <v>74</v>
      </c>
      <c r="U36" s="4" t="s">
        <v>911</v>
      </c>
      <c r="V36" s="1" t="s">
        <v>800</v>
      </c>
      <c r="W36" s="12">
        <v>98</v>
      </c>
      <c r="X36" s="2">
        <v>62799</v>
      </c>
      <c r="Y36" s="8">
        <v>11</v>
      </c>
      <c r="Z36" s="44">
        <v>0</v>
      </c>
      <c r="AA36" s="8">
        <v>100</v>
      </c>
      <c r="AB36" s="8">
        <v>2</v>
      </c>
      <c r="AC36" s="8">
        <v>9</v>
      </c>
      <c r="AD36" s="12">
        <v>25.41</v>
      </c>
      <c r="AE36" s="8">
        <v>0</v>
      </c>
      <c r="AF36" s="14">
        <v>0.06535947712418301</v>
      </c>
      <c r="AG36" s="8" t="s">
        <v>385</v>
      </c>
      <c r="AH36" s="15" t="s">
        <v>1129</v>
      </c>
      <c r="AI36" s="15" t="s">
        <v>1129</v>
      </c>
      <c r="AJ36" s="16">
        <v>231.89945316634328</v>
      </c>
      <c r="AK36" s="16">
        <v>95.50291056623743</v>
      </c>
      <c r="AL36" s="17">
        <f>(3863/B36)*100</f>
        <v>68.14252954665726</v>
      </c>
      <c r="AM36" s="43">
        <v>0.141118363026989</v>
      </c>
      <c r="AN36" s="43">
        <v>0.0881989768918681</v>
      </c>
    </row>
    <row r="37" spans="1:40" ht="12.75" customHeight="1">
      <c r="A37" s="7" t="s">
        <v>515</v>
      </c>
      <c r="B37" s="8" t="s">
        <v>401</v>
      </c>
      <c r="C37" s="8" t="s">
        <v>857</v>
      </c>
      <c r="D37" s="9" t="s">
        <v>767</v>
      </c>
      <c r="E37" s="10">
        <f t="shared" si="0"/>
        <v>8.901515151515152</v>
      </c>
      <c r="F37" s="9">
        <v>174900</v>
      </c>
      <c r="G37" s="9">
        <v>164900</v>
      </c>
      <c r="H37" s="10">
        <f t="shared" si="1"/>
        <v>6.064281382656155</v>
      </c>
      <c r="I37" s="11">
        <v>11.74</v>
      </c>
      <c r="J37" s="9">
        <v>57676</v>
      </c>
      <c r="K37" s="2" t="s">
        <v>1183</v>
      </c>
      <c r="L37" s="9">
        <v>240</v>
      </c>
      <c r="M37" s="12">
        <v>36.1</v>
      </c>
      <c r="N37" s="12">
        <v>5.9</v>
      </c>
      <c r="O37" s="12">
        <v>1367</v>
      </c>
      <c r="P37" s="12">
        <v>32.64</v>
      </c>
      <c r="Q37" s="12" t="s">
        <v>1129</v>
      </c>
      <c r="R37" s="9">
        <v>6588</v>
      </c>
      <c r="S37" s="3" t="s">
        <v>147</v>
      </c>
      <c r="T37" s="3" t="s">
        <v>75</v>
      </c>
      <c r="U37" s="4" t="s">
        <v>78</v>
      </c>
      <c r="V37" s="1" t="s">
        <v>801</v>
      </c>
      <c r="W37" s="12">
        <v>83</v>
      </c>
      <c r="X37" s="9">
        <v>46948</v>
      </c>
      <c r="Y37" s="8">
        <v>17</v>
      </c>
      <c r="Z37" s="44">
        <v>1.9</v>
      </c>
      <c r="AA37" s="8">
        <v>98</v>
      </c>
      <c r="AB37" s="8">
        <v>5</v>
      </c>
      <c r="AC37" s="8">
        <v>84</v>
      </c>
      <c r="AD37" s="12">
        <v>5.98</v>
      </c>
      <c r="AE37" s="8">
        <v>3</v>
      </c>
      <c r="AF37" s="14">
        <v>0.23923444976076558</v>
      </c>
      <c r="AG37" s="8" t="s">
        <v>386</v>
      </c>
      <c r="AH37" s="15" t="s">
        <v>951</v>
      </c>
      <c r="AI37" s="15" t="s">
        <v>1155</v>
      </c>
      <c r="AJ37" s="16">
        <v>184.46208547245735</v>
      </c>
      <c r="AK37" s="16">
        <v>19.871375052032747</v>
      </c>
      <c r="AL37" s="17">
        <f>(20098/B37)*100</f>
        <v>69.71694186207853</v>
      </c>
      <c r="AM37" s="43">
        <v>0.256694879977799</v>
      </c>
      <c r="AN37" s="43">
        <v>0.235881781601221</v>
      </c>
    </row>
    <row r="38" spans="1:40" ht="12">
      <c r="A38" s="7" t="s">
        <v>516</v>
      </c>
      <c r="B38" s="8" t="s">
        <v>440</v>
      </c>
      <c r="C38" s="8" t="s">
        <v>858</v>
      </c>
      <c r="D38" s="9" t="s">
        <v>768</v>
      </c>
      <c r="E38" s="10">
        <f t="shared" si="0"/>
        <v>9.545454545454547</v>
      </c>
      <c r="F38" s="9">
        <v>382500</v>
      </c>
      <c r="G38" s="9">
        <v>316481</v>
      </c>
      <c r="H38" s="10">
        <f t="shared" si="1"/>
        <v>20.860336007532837</v>
      </c>
      <c r="I38" s="11">
        <v>12.06</v>
      </c>
      <c r="J38" s="9">
        <v>97124</v>
      </c>
      <c r="K38" s="9">
        <v>459</v>
      </c>
      <c r="L38" s="9" t="s">
        <v>1129</v>
      </c>
      <c r="M38" s="12">
        <v>40.3</v>
      </c>
      <c r="N38" s="12">
        <v>2.8</v>
      </c>
      <c r="O38" s="12">
        <v>599</v>
      </c>
      <c r="P38" s="12">
        <v>34.4</v>
      </c>
      <c r="Q38" s="12" t="s">
        <v>1129</v>
      </c>
      <c r="R38" s="9">
        <v>7657</v>
      </c>
      <c r="S38" s="3" t="s">
        <v>148</v>
      </c>
      <c r="T38" s="3" t="s">
        <v>82</v>
      </c>
      <c r="U38" s="4" t="s">
        <v>637</v>
      </c>
      <c r="V38" s="8" t="s">
        <v>802</v>
      </c>
      <c r="W38" s="12">
        <v>95</v>
      </c>
      <c r="X38" s="9">
        <v>56158</v>
      </c>
      <c r="Y38" s="8">
        <v>15</v>
      </c>
      <c r="Z38" s="44">
        <v>0.5</v>
      </c>
      <c r="AA38" s="8">
        <v>100</v>
      </c>
      <c r="AB38" s="8">
        <v>4</v>
      </c>
      <c r="AC38" s="8">
        <v>11</v>
      </c>
      <c r="AD38" s="12">
        <v>17.62</v>
      </c>
      <c r="AE38" s="8">
        <v>0</v>
      </c>
      <c r="AF38" s="14">
        <v>0.04201680672268907</v>
      </c>
      <c r="AG38" s="8" t="s">
        <v>385</v>
      </c>
      <c r="AH38" s="15" t="s">
        <v>949</v>
      </c>
      <c r="AI38" s="15" t="s">
        <v>959</v>
      </c>
      <c r="AJ38" s="16">
        <v>277.31026203868845</v>
      </c>
      <c r="AK38" s="16">
        <v>90.6173000411579</v>
      </c>
      <c r="AL38" s="17">
        <f>(10909/B38)*100</f>
        <v>74.83193853752229</v>
      </c>
      <c r="AM38" s="43">
        <v>0.17835093977226</v>
      </c>
      <c r="AN38" s="43">
        <v>0.164631636712855</v>
      </c>
    </row>
    <row r="39" spans="1:40" ht="12">
      <c r="A39" s="7" t="s">
        <v>841</v>
      </c>
      <c r="B39" s="8" t="s">
        <v>441</v>
      </c>
      <c r="C39" s="8" t="s">
        <v>976</v>
      </c>
      <c r="D39" s="9" t="s">
        <v>769</v>
      </c>
      <c r="E39" s="10">
        <f t="shared" si="0"/>
        <v>8.620689655172415</v>
      </c>
      <c r="F39" s="9">
        <v>212000</v>
      </c>
      <c r="G39" s="9">
        <v>189900</v>
      </c>
      <c r="H39" s="10">
        <f t="shared" si="1"/>
        <v>11.637704054765665</v>
      </c>
      <c r="I39" s="11">
        <v>15.48</v>
      </c>
      <c r="J39" s="9">
        <v>60311</v>
      </c>
      <c r="K39" s="9">
        <v>260</v>
      </c>
      <c r="L39" s="9" t="s">
        <v>1129</v>
      </c>
      <c r="M39" s="12">
        <v>35.9</v>
      </c>
      <c r="N39" s="12">
        <v>3.6</v>
      </c>
      <c r="O39" s="12">
        <v>754</v>
      </c>
      <c r="P39" s="12">
        <v>26.13</v>
      </c>
      <c r="Q39" s="12" t="s">
        <v>1129</v>
      </c>
      <c r="R39" s="9">
        <v>6570</v>
      </c>
      <c r="S39" s="3" t="s">
        <v>149</v>
      </c>
      <c r="T39" s="3" t="s">
        <v>83</v>
      </c>
      <c r="U39" s="4" t="s">
        <v>1146</v>
      </c>
      <c r="V39" s="1" t="s">
        <v>803</v>
      </c>
      <c r="W39" s="12">
        <v>82</v>
      </c>
      <c r="X39" s="9">
        <v>54061</v>
      </c>
      <c r="Y39" s="8">
        <v>16</v>
      </c>
      <c r="Z39" s="44">
        <v>3.1</v>
      </c>
      <c r="AA39" s="8">
        <v>100</v>
      </c>
      <c r="AB39" s="8">
        <v>5</v>
      </c>
      <c r="AC39" s="8">
        <v>26</v>
      </c>
      <c r="AD39" s="12">
        <v>6.38</v>
      </c>
      <c r="AE39" s="8">
        <v>2</v>
      </c>
      <c r="AF39" s="14">
        <v>0.1744186046511628</v>
      </c>
      <c r="AG39" s="8" t="s">
        <v>385</v>
      </c>
      <c r="AH39" s="15" t="s">
        <v>941</v>
      </c>
      <c r="AI39" s="15" t="s">
        <v>938</v>
      </c>
      <c r="AJ39" s="16">
        <v>208.21628027553515</v>
      </c>
      <c r="AK39" s="16">
        <v>39.54003407155025</v>
      </c>
      <c r="AL39" s="17">
        <f>(8489/B39)*100</f>
        <v>62.87682393896748</v>
      </c>
      <c r="AM39" s="43">
        <v>0.177764610028887</v>
      </c>
      <c r="AN39" s="43">
        <v>0.259240056292127</v>
      </c>
    </row>
    <row r="40" spans="1:40" ht="12">
      <c r="A40" s="7" t="s">
        <v>842</v>
      </c>
      <c r="B40" s="8" t="s">
        <v>442</v>
      </c>
      <c r="C40" s="8" t="s">
        <v>977</v>
      </c>
      <c r="D40" s="9" t="s">
        <v>770</v>
      </c>
      <c r="E40" s="10">
        <f t="shared" si="0"/>
        <v>8.363434287302027</v>
      </c>
      <c r="F40" s="9">
        <v>233000</v>
      </c>
      <c r="G40" s="9">
        <v>215000</v>
      </c>
      <c r="H40" s="10">
        <f t="shared" si="1"/>
        <v>8.372093023255815</v>
      </c>
      <c r="I40" s="11">
        <v>12.99</v>
      </c>
      <c r="J40" s="9">
        <v>69144</v>
      </c>
      <c r="K40" s="9">
        <v>320</v>
      </c>
      <c r="L40" s="9" t="s">
        <v>1129</v>
      </c>
      <c r="M40" s="12">
        <v>35.5</v>
      </c>
      <c r="N40" s="12">
        <v>8.8</v>
      </c>
      <c r="O40" s="12">
        <v>785</v>
      </c>
      <c r="P40" s="12">
        <v>28.27</v>
      </c>
      <c r="Q40" s="12" t="s">
        <v>1129</v>
      </c>
      <c r="R40" s="9">
        <v>6409</v>
      </c>
      <c r="S40" s="3" t="s">
        <v>150</v>
      </c>
      <c r="T40" s="3" t="s">
        <v>84</v>
      </c>
      <c r="U40" s="4" t="s">
        <v>637</v>
      </c>
      <c r="V40" s="1" t="s">
        <v>804</v>
      </c>
      <c r="W40" s="12">
        <v>87</v>
      </c>
      <c r="X40" s="9">
        <v>50023</v>
      </c>
      <c r="Y40" s="8">
        <v>16</v>
      </c>
      <c r="Z40" s="44">
        <v>1.2</v>
      </c>
      <c r="AA40" s="8">
        <v>99</v>
      </c>
      <c r="AB40" s="8">
        <v>6</v>
      </c>
      <c r="AC40" s="8">
        <v>5</v>
      </c>
      <c r="AD40" s="12">
        <v>23.66</v>
      </c>
      <c r="AE40" s="8">
        <v>0</v>
      </c>
      <c r="AF40" s="14">
        <v>0.035211267605633804</v>
      </c>
      <c r="AG40" s="8" t="s">
        <v>385</v>
      </c>
      <c r="AH40" s="15" t="s">
        <v>960</v>
      </c>
      <c r="AI40" s="15" t="s">
        <v>1156</v>
      </c>
      <c r="AJ40" s="16">
        <v>220.87871178077364</v>
      </c>
      <c r="AK40" s="16">
        <v>18.666402326196142</v>
      </c>
      <c r="AL40" s="17">
        <f>(14698/B40)*100</f>
        <v>64.75460392986166</v>
      </c>
      <c r="AM40" s="43">
        <v>0.127764560754251</v>
      </c>
      <c r="AN40" s="43">
        <v>0.154198607806855</v>
      </c>
    </row>
    <row r="41" spans="1:40" ht="12">
      <c r="A41" s="7" t="s">
        <v>843</v>
      </c>
      <c r="B41" s="8" t="s">
        <v>403</v>
      </c>
      <c r="C41" s="8" t="s">
        <v>978</v>
      </c>
      <c r="D41" s="9" t="s">
        <v>771</v>
      </c>
      <c r="E41" s="10">
        <f t="shared" si="0"/>
        <v>39.63328631875881</v>
      </c>
      <c r="F41" s="9">
        <v>227000</v>
      </c>
      <c r="G41" s="9">
        <v>162000</v>
      </c>
      <c r="H41" s="10">
        <f t="shared" si="1"/>
        <v>40.123456790123456</v>
      </c>
      <c r="I41" s="11">
        <v>12.1</v>
      </c>
      <c r="J41" s="9">
        <v>59554</v>
      </c>
      <c r="K41" s="9">
        <v>700</v>
      </c>
      <c r="L41" s="9" t="s">
        <v>1129</v>
      </c>
      <c r="M41" s="12">
        <v>40.2</v>
      </c>
      <c r="N41" s="12">
        <v>2.2</v>
      </c>
      <c r="O41" s="12">
        <v>230</v>
      </c>
      <c r="P41" s="12">
        <v>32.43</v>
      </c>
      <c r="Q41" s="12" t="s">
        <v>1129</v>
      </c>
      <c r="R41" s="9">
        <v>10513</v>
      </c>
      <c r="S41" s="3" t="s">
        <v>151</v>
      </c>
      <c r="T41" s="3" t="s">
        <v>85</v>
      </c>
      <c r="U41" s="4" t="s">
        <v>629</v>
      </c>
      <c r="V41" s="1" t="s">
        <v>805</v>
      </c>
      <c r="W41" s="12">
        <v>100</v>
      </c>
      <c r="X41" s="9">
        <v>53686</v>
      </c>
      <c r="Y41" s="8">
        <v>10</v>
      </c>
      <c r="Z41" s="44">
        <v>0</v>
      </c>
      <c r="AA41" s="8">
        <v>100</v>
      </c>
      <c r="AB41" s="8">
        <v>3</v>
      </c>
      <c r="AC41" s="8">
        <v>3</v>
      </c>
      <c r="AD41" s="12">
        <v>18.32</v>
      </c>
      <c r="AE41" s="8">
        <v>0</v>
      </c>
      <c r="AF41" s="14">
        <v>0.14084507042253522</v>
      </c>
      <c r="AG41" s="8" t="s">
        <v>386</v>
      </c>
      <c r="AH41" s="15" t="s">
        <v>948</v>
      </c>
      <c r="AI41" s="15" t="s">
        <v>570</v>
      </c>
      <c r="AJ41" s="16">
        <v>218.59110042092604</v>
      </c>
      <c r="AK41" s="16">
        <v>16.96512327119663</v>
      </c>
      <c r="AL41" s="17">
        <f>(2606/B41)*100</f>
        <v>78.35237522549609</v>
      </c>
      <c r="AM41" s="43">
        <v>0.180396873120866</v>
      </c>
      <c r="AN41" s="43">
        <v>0.120264582080577</v>
      </c>
    </row>
    <row r="42" spans="1:40" ht="12">
      <c r="A42" s="7" t="s">
        <v>844</v>
      </c>
      <c r="B42" s="8" t="s">
        <v>404</v>
      </c>
      <c r="C42" s="8" t="s">
        <v>979</v>
      </c>
      <c r="D42" s="9" t="s">
        <v>713</v>
      </c>
      <c r="E42" s="10">
        <f t="shared" si="0"/>
        <v>12.54237288135593</v>
      </c>
      <c r="F42" s="9">
        <v>214900</v>
      </c>
      <c r="G42" s="9">
        <v>185000</v>
      </c>
      <c r="H42" s="10">
        <f t="shared" si="1"/>
        <v>16.16216216216216</v>
      </c>
      <c r="I42" s="11">
        <v>7.63</v>
      </c>
      <c r="J42" s="9">
        <v>40661</v>
      </c>
      <c r="K42" s="9">
        <v>181.2</v>
      </c>
      <c r="L42" s="9">
        <v>493.2</v>
      </c>
      <c r="M42" s="12">
        <v>35.6</v>
      </c>
      <c r="N42" s="12">
        <v>24.8</v>
      </c>
      <c r="O42" s="12">
        <v>11187</v>
      </c>
      <c r="P42" s="12">
        <v>4.28</v>
      </c>
      <c r="Q42" s="12" t="s">
        <v>1129</v>
      </c>
      <c r="R42" s="9">
        <v>7123</v>
      </c>
      <c r="S42" s="3" t="s">
        <v>152</v>
      </c>
      <c r="T42" s="3" t="s">
        <v>86</v>
      </c>
      <c r="U42" s="4" t="s">
        <v>915</v>
      </c>
      <c r="V42" s="8" t="s">
        <v>806</v>
      </c>
      <c r="W42" s="12">
        <v>66</v>
      </c>
      <c r="X42" s="9">
        <v>51043</v>
      </c>
      <c r="Y42" s="8">
        <v>15</v>
      </c>
      <c r="Z42" s="44">
        <v>4.1</v>
      </c>
      <c r="AA42" s="8">
        <v>43</v>
      </c>
      <c r="AB42" s="8">
        <v>6</v>
      </c>
      <c r="AC42" s="8">
        <v>49</v>
      </c>
      <c r="AD42" s="12">
        <v>4.59</v>
      </c>
      <c r="AE42" s="8">
        <v>3</v>
      </c>
      <c r="AF42" s="14">
        <v>7.0588235294117645</v>
      </c>
      <c r="AG42" s="8" t="s">
        <v>386</v>
      </c>
      <c r="AH42" s="15" t="s">
        <v>961</v>
      </c>
      <c r="AI42" s="15" t="s">
        <v>1157</v>
      </c>
      <c r="AJ42" s="16">
        <v>348.65641215715345</v>
      </c>
      <c r="AK42" s="16">
        <v>59.81785449539341</v>
      </c>
      <c r="AL42" s="17">
        <f>(19743/B42)*100</f>
        <v>52.2688764163931</v>
      </c>
      <c r="AM42" s="43">
        <v>0.240919199406968</v>
      </c>
      <c r="AN42" s="43">
        <v>0.293868474001906</v>
      </c>
    </row>
    <row r="43" spans="1:40" ht="12">
      <c r="A43" s="7" t="s">
        <v>521</v>
      </c>
      <c r="B43" s="8" t="s">
        <v>405</v>
      </c>
      <c r="C43" s="8" t="s">
        <v>980</v>
      </c>
      <c r="D43" s="9" t="s">
        <v>541</v>
      </c>
      <c r="E43" s="10">
        <f t="shared" si="0"/>
        <v>9.830985915492958</v>
      </c>
      <c r="F43" s="9">
        <v>250000</v>
      </c>
      <c r="G43" s="9">
        <v>175000</v>
      </c>
      <c r="H43" s="10">
        <f t="shared" si="1"/>
        <v>42.857142857142854</v>
      </c>
      <c r="I43" s="11">
        <v>13.74</v>
      </c>
      <c r="J43" s="9">
        <v>64323</v>
      </c>
      <c r="K43" s="9">
        <v>411</v>
      </c>
      <c r="L43" s="9">
        <v>448</v>
      </c>
      <c r="M43" s="12">
        <v>38.1</v>
      </c>
      <c r="N43" s="12">
        <v>3.6</v>
      </c>
      <c r="O43" s="12">
        <v>808</v>
      </c>
      <c r="P43" s="12">
        <v>31.6</v>
      </c>
      <c r="Q43" s="12" t="s">
        <v>1129</v>
      </c>
      <c r="R43" s="9">
        <v>7674</v>
      </c>
      <c r="S43" s="3" t="s">
        <v>153</v>
      </c>
      <c r="T43" s="3" t="s">
        <v>87</v>
      </c>
      <c r="U43" s="4" t="s">
        <v>1145</v>
      </c>
      <c r="V43" s="1" t="s">
        <v>363</v>
      </c>
      <c r="W43" s="12">
        <v>86</v>
      </c>
      <c r="X43" s="9">
        <v>48610</v>
      </c>
      <c r="Y43" s="8">
        <v>14</v>
      </c>
      <c r="Z43" s="44">
        <v>1.5</v>
      </c>
      <c r="AA43" s="8">
        <v>100</v>
      </c>
      <c r="AB43" s="8">
        <v>3</v>
      </c>
      <c r="AC43" s="8">
        <v>20</v>
      </c>
      <c r="AD43" s="12">
        <v>23.02</v>
      </c>
      <c r="AE43" s="8">
        <v>2</v>
      </c>
      <c r="AF43" s="14">
        <v>0.24875621890547261</v>
      </c>
      <c r="AG43" s="8" t="s">
        <v>385</v>
      </c>
      <c r="AH43" s="15" t="s">
        <v>942</v>
      </c>
      <c r="AI43" s="15" t="s">
        <v>1158</v>
      </c>
      <c r="AJ43" s="16">
        <v>238.8209255533199</v>
      </c>
      <c r="AK43" s="16">
        <v>49.31290774952747</v>
      </c>
      <c r="AL43" s="17">
        <f>(11260/B43)*100</f>
        <v>68.65435034449119</v>
      </c>
      <c r="AM43" s="43">
        <v>0.189012865069203</v>
      </c>
      <c r="AN43" s="43">
        <v>0.16462410828608</v>
      </c>
    </row>
    <row r="44" spans="1:40" ht="12">
      <c r="A44" s="7" t="s">
        <v>522</v>
      </c>
      <c r="B44" s="8" t="s">
        <v>406</v>
      </c>
      <c r="C44" s="8" t="s">
        <v>981</v>
      </c>
      <c r="D44" s="9" t="s">
        <v>772</v>
      </c>
      <c r="E44" s="10">
        <f t="shared" si="0"/>
        <v>11.525423728813559</v>
      </c>
      <c r="F44" s="9">
        <v>183000</v>
      </c>
      <c r="G44" s="9">
        <v>160000</v>
      </c>
      <c r="H44" s="10">
        <f t="shared" si="1"/>
        <v>14.374999999999998</v>
      </c>
      <c r="I44" s="11">
        <v>12.68</v>
      </c>
      <c r="J44" s="9">
        <v>54288</v>
      </c>
      <c r="K44" s="9">
        <v>326.4</v>
      </c>
      <c r="L44" s="9">
        <v>433.2</v>
      </c>
      <c r="M44" s="12">
        <v>36.2</v>
      </c>
      <c r="N44" s="12">
        <v>24.8</v>
      </c>
      <c r="O44" s="12">
        <v>2666</v>
      </c>
      <c r="P44" s="12">
        <v>21.35</v>
      </c>
      <c r="Q44" s="12">
        <v>37</v>
      </c>
      <c r="R44" s="9">
        <v>9699</v>
      </c>
      <c r="S44" s="3" t="s">
        <v>154</v>
      </c>
      <c r="T44" s="3" t="s">
        <v>88</v>
      </c>
      <c r="U44" s="4" t="s">
        <v>1144</v>
      </c>
      <c r="V44" s="1" t="s">
        <v>807</v>
      </c>
      <c r="W44" s="12">
        <v>76</v>
      </c>
      <c r="X44" s="9">
        <v>55726</v>
      </c>
      <c r="Y44" s="8">
        <v>13</v>
      </c>
      <c r="Z44" s="44">
        <v>3.7</v>
      </c>
      <c r="AA44" s="8">
        <v>100</v>
      </c>
      <c r="AB44" s="8">
        <v>5</v>
      </c>
      <c r="AC44" s="8">
        <v>109</v>
      </c>
      <c r="AD44" s="12">
        <v>21.14</v>
      </c>
      <c r="AE44" s="8">
        <v>2</v>
      </c>
      <c r="AF44" s="14">
        <v>1.3147410358565736</v>
      </c>
      <c r="AG44" s="8" t="s">
        <v>386</v>
      </c>
      <c r="AH44" s="15" t="s">
        <v>594</v>
      </c>
      <c r="AI44" s="15" t="s">
        <v>1159</v>
      </c>
      <c r="AJ44" s="16">
        <v>267.029673634908</v>
      </c>
      <c r="AK44" s="16">
        <v>51.87364388645308</v>
      </c>
      <c r="AL44" s="17">
        <f>(38027/B44)*100</f>
        <v>56.903646729615275</v>
      </c>
      <c r="AM44" s="43">
        <v>0.218474568662367</v>
      </c>
      <c r="AN44" s="43">
        <v>0.245409789456357</v>
      </c>
    </row>
    <row r="45" spans="1:40" ht="12">
      <c r="A45" s="7" t="s">
        <v>523</v>
      </c>
      <c r="B45" s="8" t="s">
        <v>407</v>
      </c>
      <c r="C45" s="8" t="s">
        <v>982</v>
      </c>
      <c r="D45" s="9" t="s">
        <v>773</v>
      </c>
      <c r="E45" s="10">
        <f t="shared" si="0"/>
        <v>8.403361344537815</v>
      </c>
      <c r="F45" s="9">
        <v>227200</v>
      </c>
      <c r="G45" s="9">
        <v>204450</v>
      </c>
      <c r="H45" s="10">
        <f t="shared" si="1"/>
        <v>11.127415015896307</v>
      </c>
      <c r="I45" s="11">
        <v>11.07</v>
      </c>
      <c r="J45" s="9">
        <v>71174</v>
      </c>
      <c r="K45" s="9">
        <v>441</v>
      </c>
      <c r="L45" s="9">
        <v>441</v>
      </c>
      <c r="M45" s="12">
        <v>34.8</v>
      </c>
      <c r="N45" s="12">
        <v>4.7</v>
      </c>
      <c r="O45" s="12">
        <v>1107</v>
      </c>
      <c r="P45" s="12">
        <v>45.43</v>
      </c>
      <c r="Q45" s="12">
        <v>58</v>
      </c>
      <c r="R45" s="9">
        <v>6782</v>
      </c>
      <c r="S45" s="3" t="s">
        <v>484</v>
      </c>
      <c r="T45" s="3" t="s">
        <v>89</v>
      </c>
      <c r="U45" s="4" t="s">
        <v>1027</v>
      </c>
      <c r="V45" s="1" t="s">
        <v>808</v>
      </c>
      <c r="W45" s="12">
        <v>91</v>
      </c>
      <c r="X45" s="9">
        <v>50767</v>
      </c>
      <c r="Y45" s="8">
        <v>14</v>
      </c>
      <c r="Z45" s="44">
        <v>0</v>
      </c>
      <c r="AA45" s="8">
        <v>100</v>
      </c>
      <c r="AB45" s="8">
        <v>4</v>
      </c>
      <c r="AC45" s="8">
        <v>48</v>
      </c>
      <c r="AD45" s="12">
        <v>12.25</v>
      </c>
      <c r="AE45" s="8">
        <v>0</v>
      </c>
      <c r="AF45" s="14">
        <v>0.0749063670411985</v>
      </c>
      <c r="AG45" s="8" t="s">
        <v>385</v>
      </c>
      <c r="AH45" s="15" t="s">
        <v>939</v>
      </c>
      <c r="AI45" s="15" t="s">
        <v>1160</v>
      </c>
      <c r="AJ45" s="16">
        <v>221.65498364376793</v>
      </c>
      <c r="AK45" s="16">
        <v>42.15288069964617</v>
      </c>
      <c r="AL45" s="17">
        <f>(18598/B45)*100</f>
        <v>62.08024567728153</v>
      </c>
      <c r="AM45" s="43">
        <v>0.116830228987249</v>
      </c>
      <c r="AN45" s="43">
        <v>0.133520261699713</v>
      </c>
    </row>
    <row r="46" spans="1:40" ht="12">
      <c r="A46" s="7" t="s">
        <v>524</v>
      </c>
      <c r="B46" s="8" t="s">
        <v>408</v>
      </c>
      <c r="C46" s="8" t="s">
        <v>540</v>
      </c>
      <c r="D46" s="9" t="s">
        <v>774</v>
      </c>
      <c r="E46" s="10">
        <f t="shared" si="0"/>
        <v>20.11619462599855</v>
      </c>
      <c r="F46" s="9">
        <v>469423</v>
      </c>
      <c r="G46" s="9">
        <v>590135</v>
      </c>
      <c r="H46" s="10">
        <f t="shared" si="1"/>
        <v>-20.454980640023045</v>
      </c>
      <c r="I46" s="11">
        <v>12.6</v>
      </c>
      <c r="J46" s="9">
        <v>76260</v>
      </c>
      <c r="K46" s="9">
        <v>328</v>
      </c>
      <c r="L46" s="9" t="s">
        <v>1129</v>
      </c>
      <c r="M46" s="12">
        <v>37.4</v>
      </c>
      <c r="N46" s="12">
        <v>1.9</v>
      </c>
      <c r="O46" s="12">
        <v>572</v>
      </c>
      <c r="P46" s="12">
        <v>30.54</v>
      </c>
      <c r="Q46" s="12" t="s">
        <v>1129</v>
      </c>
      <c r="R46" s="9">
        <v>6800</v>
      </c>
      <c r="S46" s="3" t="s">
        <v>485</v>
      </c>
      <c r="T46" s="3" t="s">
        <v>90</v>
      </c>
      <c r="U46" s="4" t="s">
        <v>1143</v>
      </c>
      <c r="V46" s="1" t="s">
        <v>983</v>
      </c>
      <c r="W46" s="12">
        <v>89</v>
      </c>
      <c r="X46" s="9">
        <v>44389</v>
      </c>
      <c r="Y46" s="8">
        <v>15</v>
      </c>
      <c r="Z46" s="44">
        <v>1.6</v>
      </c>
      <c r="AA46" s="8">
        <v>100</v>
      </c>
      <c r="AB46" s="8">
        <v>4</v>
      </c>
      <c r="AC46" s="8">
        <v>13</v>
      </c>
      <c r="AD46" s="12">
        <v>20.92</v>
      </c>
      <c r="AE46" s="8">
        <v>1</v>
      </c>
      <c r="AF46" s="14">
        <v>0.31007751937984496</v>
      </c>
      <c r="AG46" s="8" t="s">
        <v>386</v>
      </c>
      <c r="AH46" s="15" t="s">
        <v>595</v>
      </c>
      <c r="AI46" s="15" t="s">
        <v>1161</v>
      </c>
      <c r="AJ46" s="16">
        <v>152.43488402228846</v>
      </c>
      <c r="AK46" s="16">
        <v>24.93287546974213</v>
      </c>
      <c r="AL46" s="17">
        <f>(5378/B46)*100</f>
        <v>69.69029415576001</v>
      </c>
      <c r="AM46" s="43">
        <v>0.220292859919658</v>
      </c>
      <c r="AN46" s="43">
        <v>0.129584035246858</v>
      </c>
    </row>
    <row r="47" spans="1:40" ht="12">
      <c r="A47" s="7" t="s">
        <v>525</v>
      </c>
      <c r="B47" s="8" t="s">
        <v>717</v>
      </c>
      <c r="C47" s="8" t="s">
        <v>483</v>
      </c>
      <c r="D47" s="9" t="s">
        <v>876</v>
      </c>
      <c r="E47" s="10">
        <f t="shared" si="0"/>
        <v>10.606060606060606</v>
      </c>
      <c r="F47" s="9">
        <v>250000</v>
      </c>
      <c r="G47" s="9">
        <v>293000</v>
      </c>
      <c r="H47" s="10">
        <f t="shared" si="1"/>
        <v>-14.675767918088736</v>
      </c>
      <c r="I47" s="11">
        <v>10.95</v>
      </c>
      <c r="J47" s="9">
        <v>47722</v>
      </c>
      <c r="K47" s="9">
        <v>455</v>
      </c>
      <c r="L47" s="9">
        <v>473</v>
      </c>
      <c r="M47" s="12">
        <v>40.1</v>
      </c>
      <c r="N47" s="12">
        <v>3.8</v>
      </c>
      <c r="O47" s="12">
        <v>1164</v>
      </c>
      <c r="P47" s="12">
        <v>35.67</v>
      </c>
      <c r="Q47" s="12">
        <v>63</v>
      </c>
      <c r="R47" s="9">
        <v>7420</v>
      </c>
      <c r="S47" s="3" t="s">
        <v>486</v>
      </c>
      <c r="T47" s="3" t="s">
        <v>91</v>
      </c>
      <c r="U47" s="4" t="s">
        <v>1142</v>
      </c>
      <c r="V47" s="1" t="s">
        <v>364</v>
      </c>
      <c r="W47" s="12">
        <v>74</v>
      </c>
      <c r="X47" s="9">
        <v>50780</v>
      </c>
      <c r="Y47" s="8">
        <v>13</v>
      </c>
      <c r="Z47" s="44">
        <v>3</v>
      </c>
      <c r="AA47" s="8">
        <v>100</v>
      </c>
      <c r="AB47" s="8">
        <v>5</v>
      </c>
      <c r="AC47" s="8">
        <v>36</v>
      </c>
      <c r="AD47" s="12">
        <v>31.69</v>
      </c>
      <c r="AE47" s="8">
        <v>0</v>
      </c>
      <c r="AF47" s="14">
        <v>0.5</v>
      </c>
      <c r="AG47" s="8" t="s">
        <v>386</v>
      </c>
      <c r="AH47" s="15" t="s">
        <v>596</v>
      </c>
      <c r="AI47" s="15" t="s">
        <v>1162</v>
      </c>
      <c r="AJ47" s="16">
        <v>289.2588377250196</v>
      </c>
      <c r="AK47" s="16">
        <v>51.43105922254109</v>
      </c>
      <c r="AL47" s="17">
        <f>(20621/B47)*100</f>
        <v>67.24823897730238</v>
      </c>
      <c r="AM47" s="43">
        <v>0.264153404643882</v>
      </c>
      <c r="AN47" s="43">
        <v>0.234803026350117</v>
      </c>
    </row>
    <row r="48" spans="1:40" ht="12">
      <c r="A48" s="7" t="s">
        <v>526</v>
      </c>
      <c r="B48" s="8" t="s">
        <v>718</v>
      </c>
      <c r="C48" s="8" t="s">
        <v>541</v>
      </c>
      <c r="D48" s="9" t="s">
        <v>775</v>
      </c>
      <c r="E48" s="10">
        <f t="shared" si="0"/>
        <v>5.200770484516225</v>
      </c>
      <c r="F48" s="9">
        <v>309900</v>
      </c>
      <c r="G48" s="9">
        <v>249900</v>
      </c>
      <c r="H48" s="10">
        <f t="shared" si="1"/>
        <v>24.009603841536613</v>
      </c>
      <c r="I48" s="11">
        <v>11.48</v>
      </c>
      <c r="J48" s="9">
        <v>69167</v>
      </c>
      <c r="K48" s="9">
        <v>262</v>
      </c>
      <c r="L48" s="9">
        <v>312</v>
      </c>
      <c r="M48" s="12">
        <v>37.6</v>
      </c>
      <c r="N48" s="12">
        <v>2</v>
      </c>
      <c r="O48" s="12">
        <v>678</v>
      </c>
      <c r="P48" s="12">
        <v>33.98</v>
      </c>
      <c r="Q48" s="12" t="s">
        <v>1129</v>
      </c>
      <c r="R48" s="9">
        <v>6899</v>
      </c>
      <c r="S48" s="3" t="s">
        <v>487</v>
      </c>
      <c r="T48" s="3" t="s">
        <v>92</v>
      </c>
      <c r="U48" s="4" t="s">
        <v>898</v>
      </c>
      <c r="V48" s="1" t="s">
        <v>984</v>
      </c>
      <c r="W48" s="12">
        <v>90</v>
      </c>
      <c r="X48" s="9">
        <v>48277</v>
      </c>
      <c r="Y48" s="8">
        <v>15</v>
      </c>
      <c r="Z48" s="44">
        <v>0</v>
      </c>
      <c r="AA48" s="8">
        <v>100</v>
      </c>
      <c r="AB48" s="8">
        <v>6</v>
      </c>
      <c r="AC48" s="8">
        <v>15</v>
      </c>
      <c r="AD48" s="12">
        <v>29.63</v>
      </c>
      <c r="AE48" s="8">
        <v>3</v>
      </c>
      <c r="AF48" s="14">
        <v>0</v>
      </c>
      <c r="AG48" s="8" t="s">
        <v>386</v>
      </c>
      <c r="AH48" s="15" t="s">
        <v>957</v>
      </c>
      <c r="AI48" s="15" t="s">
        <v>1163</v>
      </c>
      <c r="AJ48" s="16">
        <v>120.62572347266881</v>
      </c>
      <c r="AK48" s="16">
        <v>22.814147909967847</v>
      </c>
      <c r="AL48" s="17">
        <f>(4567/B48)*100</f>
        <v>73.42443729903538</v>
      </c>
      <c r="AM48" s="43">
        <v>0.22508038585209</v>
      </c>
      <c r="AN48" s="43">
        <v>0.112540192926045</v>
      </c>
    </row>
    <row r="49" spans="1:40" ht="12">
      <c r="A49" s="7" t="s">
        <v>527</v>
      </c>
      <c r="B49" s="8" t="s">
        <v>719</v>
      </c>
      <c r="C49" s="8" t="s">
        <v>542</v>
      </c>
      <c r="D49" s="9" t="s">
        <v>850</v>
      </c>
      <c r="E49" s="10">
        <f t="shared" si="0"/>
        <v>5.666666666666666</v>
      </c>
      <c r="F49" s="9">
        <v>212500</v>
      </c>
      <c r="G49" s="9">
        <v>200000</v>
      </c>
      <c r="H49" s="10">
        <f t="shared" si="1"/>
        <v>6.25</v>
      </c>
      <c r="I49" s="11">
        <v>13.75</v>
      </c>
      <c r="J49" s="9">
        <v>57015</v>
      </c>
      <c r="K49" s="9">
        <v>270</v>
      </c>
      <c r="L49" s="9" t="s">
        <v>1129</v>
      </c>
      <c r="M49" s="12">
        <v>37.5</v>
      </c>
      <c r="N49" s="12">
        <v>2.2</v>
      </c>
      <c r="O49" s="12">
        <v>466</v>
      </c>
      <c r="P49" s="12">
        <v>37.78</v>
      </c>
      <c r="Q49" s="12">
        <v>46</v>
      </c>
      <c r="R49" s="2">
        <v>7844</v>
      </c>
      <c r="S49" s="3" t="s">
        <v>488</v>
      </c>
      <c r="T49" s="3" t="s">
        <v>93</v>
      </c>
      <c r="U49" s="4" t="s">
        <v>903</v>
      </c>
      <c r="V49" s="1" t="s">
        <v>548</v>
      </c>
      <c r="W49" s="12">
        <v>73</v>
      </c>
      <c r="X49" s="2">
        <v>52336</v>
      </c>
      <c r="Y49" s="8">
        <v>13</v>
      </c>
      <c r="Z49" s="44">
        <v>3.4</v>
      </c>
      <c r="AA49" s="8">
        <v>100</v>
      </c>
      <c r="AB49" s="8">
        <v>19</v>
      </c>
      <c r="AC49" s="8">
        <v>12</v>
      </c>
      <c r="AD49" s="12">
        <v>12.42</v>
      </c>
      <c r="AE49" s="8">
        <v>0</v>
      </c>
      <c r="AF49" s="14">
        <v>0.24844720496894407</v>
      </c>
      <c r="AG49" s="8" t="s">
        <v>385</v>
      </c>
      <c r="AH49" s="15" t="s">
        <v>1138</v>
      </c>
      <c r="AI49" s="15" t="s">
        <v>1164</v>
      </c>
      <c r="AJ49" s="16">
        <v>173.6990818569766</v>
      </c>
      <c r="AK49" s="16">
        <v>52.203931203931205</v>
      </c>
      <c r="AL49" s="17">
        <f>(5157/B49)*100</f>
        <v>66.68821931979826</v>
      </c>
      <c r="AM49" s="43">
        <v>0.271563429458166</v>
      </c>
      <c r="AN49" s="43">
        <v>0.258631837579206</v>
      </c>
    </row>
    <row r="50" spans="1:40" ht="12">
      <c r="A50" s="7" t="s">
        <v>528</v>
      </c>
      <c r="B50" s="8" t="s">
        <v>720</v>
      </c>
      <c r="C50" s="8" t="s">
        <v>543</v>
      </c>
      <c r="D50" s="9" t="s">
        <v>776</v>
      </c>
      <c r="E50" s="10">
        <f t="shared" si="0"/>
        <v>1.5352038115404976</v>
      </c>
      <c r="F50" s="9">
        <v>349900</v>
      </c>
      <c r="G50" s="9" t="s">
        <v>1129</v>
      </c>
      <c r="H50" s="10" t="s">
        <v>1129</v>
      </c>
      <c r="I50" s="11">
        <v>13.24</v>
      </c>
      <c r="J50" s="9">
        <v>72000</v>
      </c>
      <c r="K50" s="9">
        <v>290</v>
      </c>
      <c r="L50" s="9" t="s">
        <v>1129</v>
      </c>
      <c r="M50" s="12">
        <v>36.5</v>
      </c>
      <c r="N50" s="12">
        <v>6.4</v>
      </c>
      <c r="O50" s="12">
        <v>570</v>
      </c>
      <c r="P50" s="12">
        <v>28</v>
      </c>
      <c r="Q50" s="12">
        <v>46</v>
      </c>
      <c r="R50" s="9">
        <v>8028</v>
      </c>
      <c r="S50" s="3" t="s">
        <v>489</v>
      </c>
      <c r="T50" s="3" t="s">
        <v>94</v>
      </c>
      <c r="U50" s="4" t="s">
        <v>900</v>
      </c>
      <c r="V50" s="1" t="s">
        <v>985</v>
      </c>
      <c r="W50" s="12">
        <v>88</v>
      </c>
      <c r="X50" s="9">
        <v>51868</v>
      </c>
      <c r="Y50" s="8">
        <v>14</v>
      </c>
      <c r="Z50" s="44">
        <v>0.7</v>
      </c>
      <c r="AA50" s="8">
        <v>100</v>
      </c>
      <c r="AB50" s="8">
        <v>4</v>
      </c>
      <c r="AC50" s="8" t="s">
        <v>1129</v>
      </c>
      <c r="AD50" s="12">
        <v>23.77</v>
      </c>
      <c r="AE50" s="8">
        <v>1</v>
      </c>
      <c r="AF50" s="14">
        <v>0.0684931506849315</v>
      </c>
      <c r="AG50" s="8" t="s">
        <v>386</v>
      </c>
      <c r="AH50" s="15" t="s">
        <v>1129</v>
      </c>
      <c r="AI50" s="15" t="s">
        <v>1129</v>
      </c>
      <c r="AJ50" s="16">
        <v>170.68230403800476</v>
      </c>
      <c r="AK50" s="16">
        <v>66.47268408551069</v>
      </c>
      <c r="AL50" s="17">
        <f>(5919/B50)*100</f>
        <v>70.29691211401425</v>
      </c>
      <c r="AM50" s="43">
        <v>0.213776722090261</v>
      </c>
      <c r="AN50" s="43">
        <v>0.118764845605701</v>
      </c>
    </row>
    <row r="51" spans="1:40" ht="12">
      <c r="A51" s="7" t="s">
        <v>529</v>
      </c>
      <c r="B51" s="8" t="s">
        <v>721</v>
      </c>
      <c r="C51" s="8" t="s">
        <v>544</v>
      </c>
      <c r="D51" s="9" t="s">
        <v>544</v>
      </c>
      <c r="E51" s="10">
        <f t="shared" si="0"/>
        <v>0</v>
      </c>
      <c r="F51" s="9" t="s">
        <v>1129</v>
      </c>
      <c r="G51" s="9" t="s">
        <v>1129</v>
      </c>
      <c r="H51" s="10" t="s">
        <v>1129</v>
      </c>
      <c r="I51" s="11">
        <v>14.49</v>
      </c>
      <c r="J51" s="9">
        <v>73838</v>
      </c>
      <c r="K51" s="9">
        <v>486</v>
      </c>
      <c r="L51" s="9" t="s">
        <v>1129</v>
      </c>
      <c r="M51" s="12">
        <v>37.5</v>
      </c>
      <c r="N51" s="12">
        <v>2.8</v>
      </c>
      <c r="O51" s="12">
        <v>844</v>
      </c>
      <c r="P51" s="12">
        <v>24.77</v>
      </c>
      <c r="Q51" s="12" t="s">
        <v>1129</v>
      </c>
      <c r="R51" s="9">
        <v>7533</v>
      </c>
      <c r="S51" s="3" t="s">
        <v>490</v>
      </c>
      <c r="T51" s="3" t="s">
        <v>95</v>
      </c>
      <c r="U51" s="4" t="s">
        <v>1027</v>
      </c>
      <c r="V51" s="1" t="s">
        <v>986</v>
      </c>
      <c r="W51" s="12">
        <v>89</v>
      </c>
      <c r="X51" s="9">
        <v>53158</v>
      </c>
      <c r="Y51" s="8">
        <v>13</v>
      </c>
      <c r="Z51" s="44">
        <v>0.7</v>
      </c>
      <c r="AA51" s="8">
        <v>100</v>
      </c>
      <c r="AB51" s="8">
        <v>4</v>
      </c>
      <c r="AC51" s="8">
        <v>15</v>
      </c>
      <c r="AD51" s="12">
        <v>12.89</v>
      </c>
      <c r="AE51" s="8">
        <v>0</v>
      </c>
      <c r="AF51" s="14">
        <v>0.12820512820512822</v>
      </c>
      <c r="AG51" s="8" t="s">
        <v>385</v>
      </c>
      <c r="AH51" s="15" t="s">
        <v>941</v>
      </c>
      <c r="AI51" s="15" t="s">
        <v>1165</v>
      </c>
      <c r="AJ51" s="16">
        <v>276.5369961753457</v>
      </c>
      <c r="AK51" s="16">
        <v>31.21300382465431</v>
      </c>
      <c r="AL51" s="17">
        <f>(8940/B51)*100</f>
        <v>65.75463371579876</v>
      </c>
      <c r="AM51" s="43">
        <v>0.147102088849662</v>
      </c>
      <c r="AN51" s="43">
        <v>0.183877611062077</v>
      </c>
    </row>
    <row r="52" spans="1:40" ht="12">
      <c r="A52" s="7" t="s">
        <v>530</v>
      </c>
      <c r="B52" s="8" t="s">
        <v>722</v>
      </c>
      <c r="C52" s="8" t="s">
        <v>869</v>
      </c>
      <c r="D52" s="9" t="s">
        <v>777</v>
      </c>
      <c r="E52" s="10">
        <f t="shared" si="0"/>
        <v>14.07079646017699</v>
      </c>
      <c r="F52" s="9" t="s">
        <v>1129</v>
      </c>
      <c r="G52" s="9" t="s">
        <v>1129</v>
      </c>
      <c r="H52" s="10" t="s">
        <v>1129</v>
      </c>
      <c r="I52" s="11">
        <v>13.97</v>
      </c>
      <c r="J52" s="9">
        <v>62687</v>
      </c>
      <c r="K52" s="9">
        <v>265</v>
      </c>
      <c r="L52" s="9" t="s">
        <v>1129</v>
      </c>
      <c r="M52" s="12">
        <v>36.1</v>
      </c>
      <c r="N52" s="12">
        <v>3.7</v>
      </c>
      <c r="O52" s="12">
        <v>633</v>
      </c>
      <c r="P52" s="12">
        <v>26.15</v>
      </c>
      <c r="Q52" s="12">
        <v>41</v>
      </c>
      <c r="R52" s="9">
        <v>6980</v>
      </c>
      <c r="S52" s="3" t="s">
        <v>491</v>
      </c>
      <c r="T52" s="3" t="s">
        <v>326</v>
      </c>
      <c r="U52" s="4" t="s">
        <v>894</v>
      </c>
      <c r="V52" s="8" t="s">
        <v>987</v>
      </c>
      <c r="W52" s="12">
        <v>75</v>
      </c>
      <c r="X52" s="9">
        <v>50902</v>
      </c>
      <c r="Y52" s="8">
        <v>16</v>
      </c>
      <c r="Z52" s="44">
        <v>3.4</v>
      </c>
      <c r="AA52" s="8">
        <v>100</v>
      </c>
      <c r="AB52" s="8">
        <v>4</v>
      </c>
      <c r="AC52" s="8">
        <v>14</v>
      </c>
      <c r="AD52" s="12">
        <v>13.58</v>
      </c>
      <c r="AE52" s="8">
        <v>1</v>
      </c>
      <c r="AF52" s="14">
        <v>0.26666666666666666</v>
      </c>
      <c r="AG52" s="8" t="s">
        <v>385</v>
      </c>
      <c r="AH52" s="15" t="s">
        <v>1140</v>
      </c>
      <c r="AI52" s="15" t="s">
        <v>1166</v>
      </c>
      <c r="AJ52" s="16">
        <v>252.17675791187546</v>
      </c>
      <c r="AK52" s="16">
        <v>39.684135544927244</v>
      </c>
      <c r="AL52" s="17">
        <f>(6650/B52)*100</f>
        <v>67.67070316475018</v>
      </c>
      <c r="AM52" s="43">
        <v>0.223873002951053</v>
      </c>
      <c r="AN52" s="43">
        <v>0.183168820596316</v>
      </c>
    </row>
    <row r="53" spans="1:40" ht="12">
      <c r="A53" s="7" t="s">
        <v>531</v>
      </c>
      <c r="B53" s="8" t="s">
        <v>418</v>
      </c>
      <c r="C53" s="8" t="s">
        <v>870</v>
      </c>
      <c r="D53" s="9" t="s">
        <v>778</v>
      </c>
      <c r="E53" s="10">
        <f t="shared" si="0"/>
        <v>15.86452762923351</v>
      </c>
      <c r="F53" s="9">
        <v>295950</v>
      </c>
      <c r="G53" s="9">
        <v>329200</v>
      </c>
      <c r="H53" s="10">
        <f t="shared" si="1"/>
        <v>-10.100243013365736</v>
      </c>
      <c r="I53" s="11">
        <v>11.45</v>
      </c>
      <c r="J53" s="9">
        <v>107934</v>
      </c>
      <c r="K53" s="9">
        <v>240</v>
      </c>
      <c r="L53" s="9" t="s">
        <v>1129</v>
      </c>
      <c r="M53" s="12">
        <v>40.6</v>
      </c>
      <c r="N53" s="12">
        <v>13.1</v>
      </c>
      <c r="O53" s="12">
        <v>227</v>
      </c>
      <c r="P53" s="12">
        <v>35.67</v>
      </c>
      <c r="Q53" s="12" t="s">
        <v>1129</v>
      </c>
      <c r="R53" s="9">
        <v>7477</v>
      </c>
      <c r="S53" s="3" t="s">
        <v>492</v>
      </c>
      <c r="T53" s="3" t="s">
        <v>327</v>
      </c>
      <c r="U53" s="4" t="s">
        <v>911</v>
      </c>
      <c r="V53" s="1" t="s">
        <v>868</v>
      </c>
      <c r="W53" s="12">
        <v>89</v>
      </c>
      <c r="X53" s="9">
        <v>52382</v>
      </c>
      <c r="Y53" s="8">
        <v>15</v>
      </c>
      <c r="Z53" s="44">
        <v>0.8</v>
      </c>
      <c r="AA53" s="8">
        <v>90</v>
      </c>
      <c r="AB53" s="8">
        <v>7</v>
      </c>
      <c r="AC53" s="8">
        <v>7</v>
      </c>
      <c r="AD53" s="12">
        <v>20.78</v>
      </c>
      <c r="AE53" s="8">
        <v>0</v>
      </c>
      <c r="AF53" s="14">
        <v>0.11363636363636365</v>
      </c>
      <c r="AG53" s="8" t="s">
        <v>386</v>
      </c>
      <c r="AH53" s="15" t="s">
        <v>948</v>
      </c>
      <c r="AI53" s="15" t="s">
        <v>1133</v>
      </c>
      <c r="AJ53" s="16">
        <v>142.4050549811259</v>
      </c>
      <c r="AK53" s="16">
        <v>63.77580830461185</v>
      </c>
      <c r="AL53" s="17">
        <f>(4000/B53)*100</f>
        <v>65.64910553093715</v>
      </c>
      <c r="AM53" s="43">
        <v>0.164122763827343</v>
      </c>
      <c r="AN53" s="43">
        <v>0.180535040210077</v>
      </c>
    </row>
    <row r="54" spans="1:40" ht="12">
      <c r="A54" s="7" t="s">
        <v>532</v>
      </c>
      <c r="B54" s="8" t="s">
        <v>419</v>
      </c>
      <c r="C54" s="8" t="s">
        <v>871</v>
      </c>
      <c r="D54" s="9" t="s">
        <v>779</v>
      </c>
      <c r="E54" s="10">
        <f t="shared" si="0"/>
        <v>10.095447870778267</v>
      </c>
      <c r="F54" s="9">
        <v>201428</v>
      </c>
      <c r="G54" s="9">
        <v>195000</v>
      </c>
      <c r="H54" s="10">
        <f t="shared" si="1"/>
        <v>3.2964102564102564</v>
      </c>
      <c r="I54" s="11">
        <v>13.27</v>
      </c>
      <c r="J54" s="9">
        <v>49833</v>
      </c>
      <c r="K54" s="9">
        <v>345</v>
      </c>
      <c r="L54" s="9">
        <v>319</v>
      </c>
      <c r="M54" s="12">
        <v>35.5</v>
      </c>
      <c r="N54" s="12">
        <v>13.7</v>
      </c>
      <c r="O54" s="12">
        <v>1771</v>
      </c>
      <c r="P54" s="12">
        <v>36</v>
      </c>
      <c r="Q54" s="12">
        <v>63</v>
      </c>
      <c r="R54" s="9">
        <v>7401</v>
      </c>
      <c r="S54" s="3" t="s">
        <v>493</v>
      </c>
      <c r="T54" s="3" t="s">
        <v>328</v>
      </c>
      <c r="U54" s="4" t="s">
        <v>640</v>
      </c>
      <c r="V54" s="8" t="s">
        <v>1003</v>
      </c>
      <c r="W54" s="12">
        <v>77</v>
      </c>
      <c r="X54" s="9">
        <v>51935</v>
      </c>
      <c r="Y54" s="8">
        <v>15</v>
      </c>
      <c r="Z54" s="44">
        <v>6.4</v>
      </c>
      <c r="AA54" s="8">
        <v>79</v>
      </c>
      <c r="AB54" s="8">
        <v>7</v>
      </c>
      <c r="AC54" s="8">
        <v>136</v>
      </c>
      <c r="AD54" s="12">
        <v>3.72</v>
      </c>
      <c r="AE54" s="8">
        <v>4</v>
      </c>
      <c r="AF54" s="14">
        <v>0.2702702702702703</v>
      </c>
      <c r="AG54" s="8" t="s">
        <v>386</v>
      </c>
      <c r="AH54" s="15" t="s">
        <v>597</v>
      </c>
      <c r="AI54" s="15" t="s">
        <v>1167</v>
      </c>
      <c r="AJ54" s="16">
        <v>264.8674078545796</v>
      </c>
      <c r="AK54" s="16">
        <v>36.514404534326054</v>
      </c>
      <c r="AL54" s="17">
        <f>(36587/B54)*100</f>
        <v>61.352584096320896</v>
      </c>
      <c r="AM54" s="43">
        <v>0.224704027903545</v>
      </c>
      <c r="AN54" s="43">
        <v>0.224704027903545</v>
      </c>
    </row>
    <row r="55" spans="1:40" ht="12">
      <c r="A55" s="7" t="s">
        <v>533</v>
      </c>
      <c r="B55" s="8" t="s">
        <v>420</v>
      </c>
      <c r="C55" s="8" t="s">
        <v>872</v>
      </c>
      <c r="D55" s="9" t="s">
        <v>780</v>
      </c>
      <c r="E55" s="10">
        <f t="shared" si="0"/>
        <v>5.603448275862069</v>
      </c>
      <c r="F55" s="9">
        <v>284000</v>
      </c>
      <c r="G55" s="9">
        <v>255000</v>
      </c>
      <c r="H55" s="10">
        <f t="shared" si="1"/>
        <v>11.372549019607844</v>
      </c>
      <c r="I55" s="11">
        <v>11.47</v>
      </c>
      <c r="J55" s="9">
        <v>83018</v>
      </c>
      <c r="K55" s="9">
        <v>664.68</v>
      </c>
      <c r="L55" s="9">
        <v>762</v>
      </c>
      <c r="M55" s="12">
        <v>40.4</v>
      </c>
      <c r="N55" s="12">
        <v>3.1</v>
      </c>
      <c r="O55" s="12">
        <v>884</v>
      </c>
      <c r="P55" s="12">
        <v>16</v>
      </c>
      <c r="Q55" s="12" t="s">
        <v>1129</v>
      </c>
      <c r="R55" s="9">
        <v>7360</v>
      </c>
      <c r="S55" s="3" t="s">
        <v>494</v>
      </c>
      <c r="T55" s="3" t="s">
        <v>329</v>
      </c>
      <c r="U55" s="4" t="s">
        <v>1035</v>
      </c>
      <c r="V55" s="1" t="s">
        <v>1004</v>
      </c>
      <c r="W55" s="12">
        <v>89</v>
      </c>
      <c r="X55" s="9">
        <v>56748</v>
      </c>
      <c r="Y55" s="8">
        <v>14</v>
      </c>
      <c r="Z55" s="44">
        <v>1</v>
      </c>
      <c r="AA55" s="8">
        <v>100</v>
      </c>
      <c r="AB55" s="8">
        <v>5</v>
      </c>
      <c r="AC55" s="8">
        <v>25</v>
      </c>
      <c r="AD55" s="12">
        <v>28.87</v>
      </c>
      <c r="AE55" s="8">
        <v>4</v>
      </c>
      <c r="AF55" s="14">
        <v>0.13333333333333333</v>
      </c>
      <c r="AG55" s="8" t="s">
        <v>385</v>
      </c>
      <c r="AH55" s="15" t="s">
        <v>1129</v>
      </c>
      <c r="AI55" s="15" t="s">
        <v>1129</v>
      </c>
      <c r="AJ55" s="16">
        <v>315.6761782305524</v>
      </c>
      <c r="AK55" s="16">
        <v>52.8164284654567</v>
      </c>
      <c r="AL55" s="17">
        <f>(15050/B55)*100</f>
        <v>74.42757529301221</v>
      </c>
      <c r="AM55" s="43">
        <v>0.222540922803027</v>
      </c>
      <c r="AN55" s="43">
        <v>0.257158399683497</v>
      </c>
    </row>
    <row r="56" spans="1:40" ht="12">
      <c r="A56" s="7" t="s">
        <v>534</v>
      </c>
      <c r="B56" s="8" t="s">
        <v>421</v>
      </c>
      <c r="C56" s="8" t="s">
        <v>873</v>
      </c>
      <c r="D56" s="9" t="s">
        <v>781</v>
      </c>
      <c r="E56" s="10">
        <f t="shared" si="0"/>
        <v>14.615384615384617</v>
      </c>
      <c r="F56" s="9">
        <v>220400</v>
      </c>
      <c r="G56" s="9">
        <v>188000</v>
      </c>
      <c r="H56" s="10">
        <f t="shared" si="1"/>
        <v>17.23404255319149</v>
      </c>
      <c r="I56" s="11">
        <v>15.19</v>
      </c>
      <c r="J56" s="9">
        <v>54419</v>
      </c>
      <c r="K56" s="9">
        <v>279.6</v>
      </c>
      <c r="L56" s="9">
        <v>384</v>
      </c>
      <c r="M56" s="12">
        <v>38.4</v>
      </c>
      <c r="N56" s="12">
        <v>9.6</v>
      </c>
      <c r="O56" s="12">
        <v>1457</v>
      </c>
      <c r="P56" s="12">
        <v>16.91</v>
      </c>
      <c r="Q56" s="12">
        <v>26</v>
      </c>
      <c r="R56" s="9">
        <v>7079</v>
      </c>
      <c r="S56" s="3" t="s">
        <v>495</v>
      </c>
      <c r="T56" s="3" t="s">
        <v>330</v>
      </c>
      <c r="U56" s="4" t="s">
        <v>639</v>
      </c>
      <c r="V56" s="8" t="s">
        <v>1005</v>
      </c>
      <c r="W56" s="12">
        <v>66</v>
      </c>
      <c r="X56" s="9">
        <v>46749</v>
      </c>
      <c r="Y56" s="8">
        <v>15</v>
      </c>
      <c r="Z56" s="44">
        <v>4.2</v>
      </c>
      <c r="AA56" s="8">
        <v>100</v>
      </c>
      <c r="AB56" s="8">
        <v>6</v>
      </c>
      <c r="AC56" s="8">
        <v>18</v>
      </c>
      <c r="AD56" s="12">
        <v>8.78</v>
      </c>
      <c r="AE56" s="8">
        <v>2</v>
      </c>
      <c r="AF56" s="14">
        <v>0.5405405405405405</v>
      </c>
      <c r="AG56" s="8" t="s">
        <v>385</v>
      </c>
      <c r="AH56" s="15" t="s">
        <v>954</v>
      </c>
      <c r="AI56" s="15" t="s">
        <v>1168</v>
      </c>
      <c r="AJ56" s="16">
        <v>279.1777144433208</v>
      </c>
      <c r="AK56" s="16">
        <v>35.48882964052588</v>
      </c>
      <c r="AL56" s="17">
        <f>(7284/B56)*100</f>
        <v>66.96699457571022</v>
      </c>
      <c r="AM56" s="43">
        <v>0.294198768042659</v>
      </c>
      <c r="AN56" s="43">
        <v>0.376942171554657</v>
      </c>
    </row>
    <row r="57" spans="1:40" ht="12">
      <c r="A57" s="7" t="s">
        <v>859</v>
      </c>
      <c r="B57" s="8" t="s">
        <v>422</v>
      </c>
      <c r="C57" s="8" t="s">
        <v>874</v>
      </c>
      <c r="D57" s="9" t="s">
        <v>782</v>
      </c>
      <c r="E57" s="10">
        <f t="shared" si="0"/>
        <v>14.911158493248045</v>
      </c>
      <c r="F57" s="9">
        <v>138000</v>
      </c>
      <c r="G57" s="9">
        <v>127000</v>
      </c>
      <c r="H57" s="10">
        <f t="shared" si="1"/>
        <v>8.661417322834646</v>
      </c>
      <c r="I57" s="11">
        <v>16.19</v>
      </c>
      <c r="J57" s="9">
        <v>78092</v>
      </c>
      <c r="K57" s="9">
        <v>372</v>
      </c>
      <c r="L57" s="9" t="s">
        <v>1129</v>
      </c>
      <c r="M57" s="12">
        <v>38.2</v>
      </c>
      <c r="N57" s="12">
        <v>4.3</v>
      </c>
      <c r="O57" s="12">
        <v>738</v>
      </c>
      <c r="P57" s="12">
        <v>27.4</v>
      </c>
      <c r="Q57" s="12" t="s">
        <v>1129</v>
      </c>
      <c r="R57" s="9">
        <v>8055</v>
      </c>
      <c r="S57" s="3" t="s">
        <v>496</v>
      </c>
      <c r="T57" s="3" t="s">
        <v>331</v>
      </c>
      <c r="U57" s="4" t="s">
        <v>638</v>
      </c>
      <c r="V57" s="8" t="s">
        <v>1006</v>
      </c>
      <c r="W57" s="12">
        <v>83</v>
      </c>
      <c r="X57" s="9">
        <v>51281</v>
      </c>
      <c r="Y57" s="8">
        <v>15</v>
      </c>
      <c r="Z57" s="44">
        <v>0.4</v>
      </c>
      <c r="AA57" s="8">
        <v>100</v>
      </c>
      <c r="AB57" s="8">
        <v>2</v>
      </c>
      <c r="AC57" s="8">
        <v>33</v>
      </c>
      <c r="AD57" s="12">
        <v>16.53</v>
      </c>
      <c r="AE57" s="8">
        <v>3</v>
      </c>
      <c r="AF57" s="14">
        <v>0.26737967914438504</v>
      </c>
      <c r="AG57" s="8" t="s">
        <v>386</v>
      </c>
      <c r="AH57" s="15" t="s">
        <v>937</v>
      </c>
      <c r="AI57" s="15" t="s">
        <v>1169</v>
      </c>
      <c r="AJ57" s="16">
        <v>158.22103080992207</v>
      </c>
      <c r="AK57" s="16">
        <v>32.736578740438915</v>
      </c>
      <c r="AL57" s="17">
        <f>(9970/B57)*100</f>
        <v>71.27028379440989</v>
      </c>
      <c r="AM57" s="43">
        <v>0.150117949817714</v>
      </c>
      <c r="AN57" s="43">
        <v>0.193008792622775</v>
      </c>
    </row>
    <row r="58" spans="1:40" ht="12">
      <c r="A58" s="7" t="s">
        <v>652</v>
      </c>
      <c r="B58" s="8" t="s">
        <v>423</v>
      </c>
      <c r="C58" s="8" t="s">
        <v>875</v>
      </c>
      <c r="D58" s="9" t="s">
        <v>783</v>
      </c>
      <c r="E58" s="10">
        <f t="shared" si="0"/>
        <v>9.328645203823756</v>
      </c>
      <c r="F58" s="9">
        <v>305000</v>
      </c>
      <c r="G58" s="9">
        <v>285000</v>
      </c>
      <c r="H58" s="10">
        <f t="shared" si="1"/>
        <v>7.017543859649122</v>
      </c>
      <c r="I58" s="11">
        <v>13.82</v>
      </c>
      <c r="J58" s="9">
        <v>89281</v>
      </c>
      <c r="K58" s="9">
        <v>214</v>
      </c>
      <c r="L58" s="9">
        <v>482</v>
      </c>
      <c r="M58" s="12">
        <v>36.2</v>
      </c>
      <c r="N58" s="12">
        <v>4.7</v>
      </c>
      <c r="O58" s="12">
        <v>502</v>
      </c>
      <c r="P58" s="12">
        <v>34.56</v>
      </c>
      <c r="Q58" s="12" t="s">
        <v>1129</v>
      </c>
      <c r="R58" s="9">
        <v>8254</v>
      </c>
      <c r="S58" s="3" t="s">
        <v>497</v>
      </c>
      <c r="T58" s="3" t="s">
        <v>332</v>
      </c>
      <c r="U58" s="4" t="s">
        <v>637</v>
      </c>
      <c r="V58" s="8" t="s">
        <v>1007</v>
      </c>
      <c r="W58" s="12">
        <v>92</v>
      </c>
      <c r="X58" s="9">
        <v>50025</v>
      </c>
      <c r="Y58" s="8">
        <v>14</v>
      </c>
      <c r="Z58" s="44">
        <v>0</v>
      </c>
      <c r="AA58" s="8">
        <v>83</v>
      </c>
      <c r="AB58" s="8">
        <v>3</v>
      </c>
      <c r="AC58" s="8">
        <v>33</v>
      </c>
      <c r="AD58" s="12">
        <v>17.19</v>
      </c>
      <c r="AE58" s="8">
        <v>1</v>
      </c>
      <c r="AF58" s="14">
        <v>0.15037593984962405</v>
      </c>
      <c r="AG58" s="8" t="s">
        <v>386</v>
      </c>
      <c r="AH58" s="15" t="s">
        <v>944</v>
      </c>
      <c r="AI58" s="15" t="s">
        <v>247</v>
      </c>
      <c r="AJ58" s="16">
        <v>210.44759511844939</v>
      </c>
      <c r="AK58" s="16">
        <v>19.746661880832736</v>
      </c>
      <c r="AL58" s="17">
        <f>(8857/B58)*100</f>
        <v>63.582196697774584</v>
      </c>
      <c r="AM58" s="43">
        <v>0.136396267049533</v>
      </c>
      <c r="AN58" s="43">
        <v>0.0933237616654702</v>
      </c>
    </row>
    <row r="59" spans="1:40" ht="12">
      <c r="A59" s="7" t="s">
        <v>653</v>
      </c>
      <c r="B59" s="8" t="s">
        <v>424</v>
      </c>
      <c r="C59" s="8" t="s">
        <v>876</v>
      </c>
      <c r="D59" s="9" t="s">
        <v>784</v>
      </c>
      <c r="E59" s="10">
        <f t="shared" si="0"/>
        <v>12.43611584327087</v>
      </c>
      <c r="F59" s="9">
        <v>215000</v>
      </c>
      <c r="G59" s="9">
        <v>205000</v>
      </c>
      <c r="H59" s="10">
        <f t="shared" si="1"/>
        <v>4.878048780487805</v>
      </c>
      <c r="I59" s="11">
        <v>10.72</v>
      </c>
      <c r="J59" s="9">
        <v>58549</v>
      </c>
      <c r="K59" s="9">
        <v>267</v>
      </c>
      <c r="L59" s="9">
        <v>293</v>
      </c>
      <c r="M59" s="12">
        <v>37.3</v>
      </c>
      <c r="N59" s="12">
        <v>7.7</v>
      </c>
      <c r="O59" s="12">
        <v>1575</v>
      </c>
      <c r="P59" s="12">
        <v>41.13</v>
      </c>
      <c r="Q59" s="12" t="s">
        <v>1129</v>
      </c>
      <c r="R59" s="9">
        <v>8079</v>
      </c>
      <c r="S59" s="3" t="s">
        <v>498</v>
      </c>
      <c r="T59" s="3" t="s">
        <v>333</v>
      </c>
      <c r="U59" s="4" t="s">
        <v>636</v>
      </c>
      <c r="V59" s="1" t="s">
        <v>546</v>
      </c>
      <c r="W59" s="12">
        <v>82</v>
      </c>
      <c r="X59" s="9">
        <v>54484</v>
      </c>
      <c r="Y59" s="8">
        <v>13</v>
      </c>
      <c r="Z59" s="44">
        <v>4.4</v>
      </c>
      <c r="AA59" s="8">
        <v>100</v>
      </c>
      <c r="AB59" s="8">
        <v>4</v>
      </c>
      <c r="AC59" s="8">
        <v>42</v>
      </c>
      <c r="AD59" s="12">
        <v>8.79</v>
      </c>
      <c r="AE59" s="8">
        <v>1</v>
      </c>
      <c r="AF59" s="14">
        <v>0.08695652173913043</v>
      </c>
      <c r="AG59" s="8" t="s">
        <v>386</v>
      </c>
      <c r="AH59" s="15" t="s">
        <v>941</v>
      </c>
      <c r="AI59" s="15" t="s">
        <v>1170</v>
      </c>
      <c r="AJ59" s="16">
        <v>233.7147687609075</v>
      </c>
      <c r="AK59" s="16">
        <v>55.89152486910995</v>
      </c>
      <c r="AL59" s="17">
        <f>(12308/B59)*100</f>
        <v>67.12478184991274</v>
      </c>
      <c r="AM59" s="43">
        <v>0.163612565445026</v>
      </c>
      <c r="AN59" s="43">
        <v>0.141797556719023</v>
      </c>
    </row>
    <row r="60" spans="1:40" ht="12">
      <c r="A60" s="7" t="s">
        <v>654</v>
      </c>
      <c r="B60" s="8" t="s">
        <v>425</v>
      </c>
      <c r="C60" s="8" t="s">
        <v>877</v>
      </c>
      <c r="D60" s="9" t="s">
        <v>785</v>
      </c>
      <c r="E60" s="10">
        <f t="shared" si="0"/>
        <v>8.0370942812983</v>
      </c>
      <c r="F60" s="9">
        <v>314000</v>
      </c>
      <c r="G60" s="9">
        <v>257500</v>
      </c>
      <c r="H60" s="10">
        <f t="shared" si="1"/>
        <v>21.941747572815533</v>
      </c>
      <c r="I60" s="11">
        <v>10.88</v>
      </c>
      <c r="J60" s="9">
        <v>52377</v>
      </c>
      <c r="K60" s="9">
        <v>665</v>
      </c>
      <c r="L60" s="9">
        <v>480</v>
      </c>
      <c r="M60" s="12">
        <v>40.2</v>
      </c>
      <c r="N60" s="12">
        <v>3.7</v>
      </c>
      <c r="O60" s="12">
        <v>3683</v>
      </c>
      <c r="P60" s="12">
        <v>22.58</v>
      </c>
      <c r="Q60" s="12" t="s">
        <v>1129</v>
      </c>
      <c r="R60" s="9">
        <v>8570</v>
      </c>
      <c r="S60" s="3" t="s">
        <v>499</v>
      </c>
      <c r="T60" s="3" t="s">
        <v>334</v>
      </c>
      <c r="U60" s="4" t="s">
        <v>635</v>
      </c>
      <c r="V60" s="8" t="s">
        <v>715</v>
      </c>
      <c r="W60" s="12">
        <v>66</v>
      </c>
      <c r="X60" s="9">
        <v>42946</v>
      </c>
      <c r="Y60" s="8">
        <v>11</v>
      </c>
      <c r="Z60" s="44">
        <v>0</v>
      </c>
      <c r="AA60" s="8">
        <v>100</v>
      </c>
      <c r="AB60" s="8">
        <v>4</v>
      </c>
      <c r="AC60" s="8">
        <v>11</v>
      </c>
      <c r="AD60" s="12">
        <v>18.79</v>
      </c>
      <c r="AE60" s="8">
        <v>1</v>
      </c>
      <c r="AF60" s="14">
        <v>0.6666666666666666</v>
      </c>
      <c r="AG60" s="8" t="s">
        <v>385</v>
      </c>
      <c r="AH60" s="15" t="s">
        <v>598</v>
      </c>
      <c r="AI60" s="15" t="s">
        <v>1171</v>
      </c>
      <c r="AJ60" s="16">
        <v>364.0616021855997</v>
      </c>
      <c r="AK60" s="16">
        <v>29.659205076231604</v>
      </c>
      <c r="AL60" s="17">
        <f>(8245/B60)*100</f>
        <v>72.66237772098351</v>
      </c>
      <c r="AM60" s="43">
        <v>0.229135454305103</v>
      </c>
      <c r="AN60" s="43">
        <v>0.149819335507183</v>
      </c>
    </row>
    <row r="61" spans="1:40" ht="12">
      <c r="A61" s="7" t="s">
        <v>655</v>
      </c>
      <c r="B61" s="8" t="s">
        <v>426</v>
      </c>
      <c r="C61" s="8" t="s">
        <v>878</v>
      </c>
      <c r="D61" s="9" t="s">
        <v>446</v>
      </c>
      <c r="E61" s="10">
        <f t="shared" si="0"/>
        <v>10.565110565110565</v>
      </c>
      <c r="F61" s="9">
        <v>252250</v>
      </c>
      <c r="G61" s="9">
        <v>249450</v>
      </c>
      <c r="H61" s="10">
        <f t="shared" si="1"/>
        <v>1.1224694327520546</v>
      </c>
      <c r="I61" s="11">
        <v>11.44</v>
      </c>
      <c r="J61" s="9">
        <v>57284</v>
      </c>
      <c r="K61" s="9">
        <v>468</v>
      </c>
      <c r="L61" s="9">
        <v>542</v>
      </c>
      <c r="M61" s="12">
        <v>41.7</v>
      </c>
      <c r="N61" s="12">
        <v>3</v>
      </c>
      <c r="O61" s="12">
        <v>398</v>
      </c>
      <c r="P61" s="12">
        <v>29.73</v>
      </c>
      <c r="Q61" s="12">
        <v>53</v>
      </c>
      <c r="R61" s="9">
        <v>7314</v>
      </c>
      <c r="S61" s="3" t="s">
        <v>500</v>
      </c>
      <c r="T61" s="3" t="s">
        <v>335</v>
      </c>
      <c r="U61" s="4" t="s">
        <v>634</v>
      </c>
      <c r="V61" s="1" t="s">
        <v>547</v>
      </c>
      <c r="W61" s="12">
        <v>89</v>
      </c>
      <c r="X61" s="9">
        <v>46708</v>
      </c>
      <c r="Y61" s="8">
        <v>14</v>
      </c>
      <c r="Z61" s="44">
        <v>2.1</v>
      </c>
      <c r="AA61" s="8">
        <v>100</v>
      </c>
      <c r="AB61" s="8">
        <v>3</v>
      </c>
      <c r="AC61" s="8">
        <v>14</v>
      </c>
      <c r="AD61" s="12">
        <v>41.18</v>
      </c>
      <c r="AE61" s="8">
        <v>0</v>
      </c>
      <c r="AF61" s="14">
        <v>0.12269938650306748</v>
      </c>
      <c r="AG61" s="8" t="s">
        <v>386</v>
      </c>
      <c r="AH61" s="15" t="s">
        <v>937</v>
      </c>
      <c r="AI61" s="15" t="s">
        <v>1172</v>
      </c>
      <c r="AJ61" s="16">
        <v>221.82238131122833</v>
      </c>
      <c r="AK61" s="16">
        <v>43.23963828183874</v>
      </c>
      <c r="AL61" s="17">
        <f>(8759/B61)*100</f>
        <v>66.0060286360211</v>
      </c>
      <c r="AM61" s="43">
        <v>0.218538055764883</v>
      </c>
      <c r="AN61" s="43">
        <v>0.203466465712133</v>
      </c>
    </row>
    <row r="62" spans="1:40" ht="12">
      <c r="A62" s="7" t="s">
        <v>656</v>
      </c>
      <c r="B62" s="8" t="s">
        <v>379</v>
      </c>
      <c r="C62" s="8" t="s">
        <v>820</v>
      </c>
      <c r="D62" s="9" t="s">
        <v>447</v>
      </c>
      <c r="E62" s="10">
        <f t="shared" si="0"/>
        <v>9.375</v>
      </c>
      <c r="F62" s="9">
        <v>292950</v>
      </c>
      <c r="G62" s="9">
        <v>216000</v>
      </c>
      <c r="H62" s="10">
        <f t="shared" si="1"/>
        <v>35.625</v>
      </c>
      <c r="I62" s="11">
        <v>14.3</v>
      </c>
      <c r="J62" s="9">
        <v>53780</v>
      </c>
      <c r="K62" s="9">
        <v>275</v>
      </c>
      <c r="L62" s="9" t="s">
        <v>1129</v>
      </c>
      <c r="M62" s="12">
        <v>37.2</v>
      </c>
      <c r="N62" s="12">
        <v>3.5</v>
      </c>
      <c r="O62" s="12">
        <v>637</v>
      </c>
      <c r="P62" s="12">
        <v>35.99</v>
      </c>
      <c r="Q62" s="12">
        <v>56</v>
      </c>
      <c r="R62" s="2">
        <v>7844</v>
      </c>
      <c r="S62" s="3" t="s">
        <v>501</v>
      </c>
      <c r="T62" s="3" t="s">
        <v>93</v>
      </c>
      <c r="U62" s="4" t="s">
        <v>903</v>
      </c>
      <c r="V62" s="1" t="s">
        <v>548</v>
      </c>
      <c r="W62" s="12">
        <v>73</v>
      </c>
      <c r="X62" s="2">
        <v>52336</v>
      </c>
      <c r="Y62" s="8">
        <v>13</v>
      </c>
      <c r="Z62" s="44">
        <v>3.4</v>
      </c>
      <c r="AA62" s="8">
        <v>100</v>
      </c>
      <c r="AB62" s="8">
        <v>19</v>
      </c>
      <c r="AC62" s="8">
        <v>18</v>
      </c>
      <c r="AD62" s="12">
        <v>9.95</v>
      </c>
      <c r="AE62" s="8">
        <v>1</v>
      </c>
      <c r="AF62" s="14">
        <v>0.16216216216216217</v>
      </c>
      <c r="AG62" s="8" t="s">
        <v>385</v>
      </c>
      <c r="AH62" s="15" t="s">
        <v>937</v>
      </c>
      <c r="AI62" s="15" t="s">
        <v>1173</v>
      </c>
      <c r="AJ62" s="16">
        <v>271.11821322803553</v>
      </c>
      <c r="AK62" s="16">
        <v>49.008719973675554</v>
      </c>
      <c r="AL62" s="17">
        <f>(8269/B62)*100</f>
        <v>68.02402105955908</v>
      </c>
      <c r="AM62" s="43">
        <v>0.213886146758802</v>
      </c>
      <c r="AN62" s="43">
        <v>0.419545903257651</v>
      </c>
    </row>
    <row r="63" spans="1:40" ht="12">
      <c r="A63" s="7" t="s">
        <v>657</v>
      </c>
      <c r="B63" s="8" t="s">
        <v>380</v>
      </c>
      <c r="C63" s="8" t="s">
        <v>879</v>
      </c>
      <c r="D63" s="9" t="s">
        <v>448</v>
      </c>
      <c r="E63" s="10">
        <f t="shared" si="0"/>
        <v>13.161131611316112</v>
      </c>
      <c r="F63" s="9">
        <v>154900</v>
      </c>
      <c r="G63" s="9">
        <v>110450</v>
      </c>
      <c r="H63" s="10">
        <f t="shared" si="1"/>
        <v>40.244454504300585</v>
      </c>
      <c r="I63" s="11">
        <v>12.07</v>
      </c>
      <c r="J63" s="9">
        <v>27983</v>
      </c>
      <c r="K63" s="9">
        <v>162</v>
      </c>
      <c r="L63" s="9">
        <v>168</v>
      </c>
      <c r="M63" s="12">
        <v>29.5</v>
      </c>
      <c r="N63" s="12">
        <v>65.9</v>
      </c>
      <c r="O63" s="12">
        <v>10292</v>
      </c>
      <c r="P63" s="12">
        <v>28.88</v>
      </c>
      <c r="Q63" s="12">
        <v>52</v>
      </c>
      <c r="R63" s="9">
        <v>7904</v>
      </c>
      <c r="S63" s="3" t="s">
        <v>502</v>
      </c>
      <c r="T63" s="3" t="s">
        <v>336</v>
      </c>
      <c r="U63" s="4" t="s">
        <v>633</v>
      </c>
      <c r="V63" s="1" t="s">
        <v>365</v>
      </c>
      <c r="W63" s="12">
        <v>69</v>
      </c>
      <c r="X63" s="9">
        <v>49784</v>
      </c>
      <c r="Y63" s="8">
        <v>14</v>
      </c>
      <c r="Z63" s="44">
        <v>10.3</v>
      </c>
      <c r="AA63" s="8">
        <v>76</v>
      </c>
      <c r="AB63" s="8">
        <v>4</v>
      </c>
      <c r="AC63" s="8">
        <v>551</v>
      </c>
      <c r="AD63" s="12">
        <v>7.15</v>
      </c>
      <c r="AE63" s="8">
        <v>2</v>
      </c>
      <c r="AF63" s="14">
        <v>4</v>
      </c>
      <c r="AG63" s="8" t="s">
        <v>386</v>
      </c>
      <c r="AH63" s="15" t="s">
        <v>599</v>
      </c>
      <c r="AI63" s="15" t="s">
        <v>427</v>
      </c>
      <c r="AJ63" s="16">
        <v>264.81435728975447</v>
      </c>
      <c r="AK63" s="16">
        <v>23.435439124373715</v>
      </c>
      <c r="AL63" s="17">
        <f>(33160/B63)*100</f>
        <v>45.76886447392031</v>
      </c>
      <c r="AM63" s="43">
        <v>0.15182675187368</v>
      </c>
      <c r="AN63" s="43">
        <v>0.198755020634636</v>
      </c>
    </row>
    <row r="64" spans="1:40" ht="12">
      <c r="A64" s="7" t="s">
        <v>658</v>
      </c>
      <c r="B64" s="8" t="s">
        <v>381</v>
      </c>
      <c r="C64" s="8" t="s">
        <v>880</v>
      </c>
      <c r="D64" s="9" t="s">
        <v>817</v>
      </c>
      <c r="E64" s="10">
        <f t="shared" si="0"/>
        <v>5.691056910569105</v>
      </c>
      <c r="F64" s="9">
        <v>429500</v>
      </c>
      <c r="G64" s="9">
        <v>400000</v>
      </c>
      <c r="H64" s="10">
        <f t="shared" si="1"/>
        <v>7.375</v>
      </c>
      <c r="I64" s="11">
        <v>10.95</v>
      </c>
      <c r="J64" s="9">
        <v>96825</v>
      </c>
      <c r="K64" s="9">
        <v>363.2</v>
      </c>
      <c r="L64" s="9">
        <v>800.4</v>
      </c>
      <c r="M64" s="12">
        <v>43.7</v>
      </c>
      <c r="N64" s="12">
        <v>14.9</v>
      </c>
      <c r="O64" s="12">
        <v>1851</v>
      </c>
      <c r="P64" s="12">
        <v>15.13</v>
      </c>
      <c r="Q64" s="12" t="s">
        <v>1129</v>
      </c>
      <c r="R64" s="9">
        <v>9686</v>
      </c>
      <c r="S64" s="3" t="s">
        <v>503</v>
      </c>
      <c r="T64" s="3" t="s">
        <v>337</v>
      </c>
      <c r="U64" s="4" t="s">
        <v>1027</v>
      </c>
      <c r="V64" s="1" t="s">
        <v>1008</v>
      </c>
      <c r="W64" s="12">
        <v>89</v>
      </c>
      <c r="X64" s="9">
        <v>55436</v>
      </c>
      <c r="Y64" s="8">
        <v>13</v>
      </c>
      <c r="Z64" s="44">
        <v>0.6</v>
      </c>
      <c r="AA64" s="8">
        <v>98</v>
      </c>
      <c r="AB64" s="8">
        <v>4</v>
      </c>
      <c r="AC64" s="8">
        <v>35</v>
      </c>
      <c r="AD64" s="12">
        <v>19.94</v>
      </c>
      <c r="AE64" s="8">
        <v>1</v>
      </c>
      <c r="AF64" s="14">
        <v>0.30487804878048785</v>
      </c>
      <c r="AG64" s="8" t="s">
        <v>386</v>
      </c>
      <c r="AH64" s="15" t="s">
        <v>1139</v>
      </c>
      <c r="AI64" s="15" t="s">
        <v>428</v>
      </c>
      <c r="AJ64" s="16">
        <v>239.6478165867658</v>
      </c>
      <c r="AK64" s="16">
        <v>78.08489058474383</v>
      </c>
      <c r="AL64" s="17">
        <f>(20766/B64)*100</f>
        <v>67.7233147441542</v>
      </c>
      <c r="AM64" s="43">
        <v>0.225026905390862</v>
      </c>
      <c r="AN64" s="43">
        <v>0.192414310406679</v>
      </c>
    </row>
    <row r="65" spans="1:40" ht="12">
      <c r="A65" s="7" t="s">
        <v>988</v>
      </c>
      <c r="B65" s="8" t="s">
        <v>382</v>
      </c>
      <c r="C65" s="8" t="s">
        <v>881</v>
      </c>
      <c r="D65" s="9" t="s">
        <v>815</v>
      </c>
      <c r="E65" s="10">
        <f t="shared" si="0"/>
        <v>-5.153846153846154</v>
      </c>
      <c r="F65" s="9">
        <v>385000</v>
      </c>
      <c r="G65" s="9">
        <v>360000</v>
      </c>
      <c r="H65" s="10">
        <f t="shared" si="1"/>
        <v>6.944444444444445</v>
      </c>
      <c r="I65" s="11">
        <v>9.35</v>
      </c>
      <c r="J65" s="9">
        <v>79003</v>
      </c>
      <c r="K65" s="9">
        <v>418</v>
      </c>
      <c r="L65" s="9" t="s">
        <v>1129</v>
      </c>
      <c r="M65" s="12">
        <v>35.3</v>
      </c>
      <c r="N65" s="12">
        <v>14.2</v>
      </c>
      <c r="O65" s="12">
        <v>559</v>
      </c>
      <c r="P65" s="12">
        <v>20.31</v>
      </c>
      <c r="Q65" s="12">
        <v>36</v>
      </c>
      <c r="R65" s="2">
        <v>11480</v>
      </c>
      <c r="S65" s="3" t="s">
        <v>504</v>
      </c>
      <c r="T65" s="3" t="s">
        <v>338</v>
      </c>
      <c r="U65" s="4" t="s">
        <v>1031</v>
      </c>
      <c r="V65" s="8" t="s">
        <v>1009</v>
      </c>
      <c r="W65" s="12">
        <v>93</v>
      </c>
      <c r="X65" s="2">
        <v>58511</v>
      </c>
      <c r="Y65" s="8">
        <v>11</v>
      </c>
      <c r="Z65" s="44">
        <v>0</v>
      </c>
      <c r="AA65" s="8">
        <v>10</v>
      </c>
      <c r="AB65" s="8">
        <v>5</v>
      </c>
      <c r="AC65" s="8">
        <v>6</v>
      </c>
      <c r="AD65" s="12">
        <v>35.38</v>
      </c>
      <c r="AE65" s="8">
        <v>0</v>
      </c>
      <c r="AF65" s="14">
        <v>0.06944444444444445</v>
      </c>
      <c r="AG65" s="8" t="s">
        <v>386</v>
      </c>
      <c r="AH65" s="15" t="s">
        <v>949</v>
      </c>
      <c r="AI65" s="15" t="s">
        <v>263</v>
      </c>
      <c r="AJ65" s="16">
        <v>212.72161262483047</v>
      </c>
      <c r="AK65" s="16">
        <v>132.0590556035014</v>
      </c>
      <c r="AL65" s="17">
        <f>(4215/B65)*100</f>
        <v>51.96646529404513</v>
      </c>
      <c r="AM65" s="43">
        <v>0.123289360128221</v>
      </c>
      <c r="AN65" s="43">
        <v>0.135618296141043</v>
      </c>
    </row>
    <row r="66" spans="1:40" ht="12">
      <c r="A66" s="7" t="s">
        <v>549</v>
      </c>
      <c r="B66" s="8" t="s">
        <v>383</v>
      </c>
      <c r="C66" s="8" t="s">
        <v>977</v>
      </c>
      <c r="D66" s="9" t="s">
        <v>593</v>
      </c>
      <c r="E66" s="10">
        <f t="shared" si="0"/>
        <v>8.333333333333332</v>
      </c>
      <c r="F66" s="9" t="s">
        <v>1129</v>
      </c>
      <c r="G66" s="9" t="s">
        <v>1129</v>
      </c>
      <c r="H66" s="10" t="s">
        <v>1129</v>
      </c>
      <c r="I66" s="11">
        <v>11.15</v>
      </c>
      <c r="J66" s="9">
        <v>71384</v>
      </c>
      <c r="K66" s="9">
        <v>299</v>
      </c>
      <c r="L66" s="9" t="s">
        <v>1129</v>
      </c>
      <c r="M66" s="12">
        <v>37.9</v>
      </c>
      <c r="N66" s="12">
        <v>4.1</v>
      </c>
      <c r="O66" s="12">
        <v>493</v>
      </c>
      <c r="P66" s="12">
        <v>31.24</v>
      </c>
      <c r="Q66" s="12">
        <v>59</v>
      </c>
      <c r="R66" s="9">
        <v>8555</v>
      </c>
      <c r="S66" s="3" t="s">
        <v>505</v>
      </c>
      <c r="T66" s="3" t="s">
        <v>339</v>
      </c>
      <c r="U66" s="4" t="s">
        <v>632</v>
      </c>
      <c r="V66" s="8" t="s">
        <v>1010</v>
      </c>
      <c r="W66" s="12">
        <v>90</v>
      </c>
      <c r="X66" s="9">
        <v>49712</v>
      </c>
      <c r="Y66" s="8">
        <v>15</v>
      </c>
      <c r="Z66" s="44">
        <v>0.3</v>
      </c>
      <c r="AA66" s="8">
        <v>98</v>
      </c>
      <c r="AB66" s="8">
        <v>5</v>
      </c>
      <c r="AC66" s="8">
        <v>15</v>
      </c>
      <c r="AD66" s="12">
        <v>7.94</v>
      </c>
      <c r="AE66" s="8">
        <v>0</v>
      </c>
      <c r="AF66" s="14">
        <v>0.06024096385542168</v>
      </c>
      <c r="AG66" s="8" t="s">
        <v>386</v>
      </c>
      <c r="AH66" s="15" t="s">
        <v>958</v>
      </c>
      <c r="AI66" s="15" t="s">
        <v>429</v>
      </c>
      <c r="AJ66" s="16">
        <v>224.6840314443271</v>
      </c>
      <c r="AK66" s="16">
        <v>57.35808987445735</v>
      </c>
      <c r="AL66" s="17">
        <f>(5859/B66)*100</f>
        <v>68.74340021119323</v>
      </c>
      <c r="AM66" s="43">
        <v>0.246392115452306</v>
      </c>
      <c r="AN66" s="43">
        <v>0.187727326058899</v>
      </c>
    </row>
    <row r="67" spans="1:40" ht="12">
      <c r="A67" s="7" t="s">
        <v>550</v>
      </c>
      <c r="B67" s="8" t="s">
        <v>729</v>
      </c>
      <c r="C67" s="8" t="s">
        <v>882</v>
      </c>
      <c r="D67" s="9" t="s">
        <v>449</v>
      </c>
      <c r="E67" s="10">
        <f aca="true" t="shared" si="2" ref="E67:E130">(C67-D67)/D67*100</f>
        <v>14.174311926605505</v>
      </c>
      <c r="F67" s="9">
        <v>165000</v>
      </c>
      <c r="G67" s="9">
        <v>144900</v>
      </c>
      <c r="H67" s="10">
        <f aca="true" t="shared" si="3" ref="H67:H130">(F67-G67)/G67*100</f>
        <v>13.871635610766045</v>
      </c>
      <c r="I67" s="11">
        <v>13.77</v>
      </c>
      <c r="J67" s="9">
        <v>39192</v>
      </c>
      <c r="K67" s="9">
        <v>169</v>
      </c>
      <c r="L67" s="9">
        <v>245</v>
      </c>
      <c r="M67" s="12">
        <v>31.4</v>
      </c>
      <c r="N67" s="12">
        <v>37.5</v>
      </c>
      <c r="O67" s="12">
        <v>7621</v>
      </c>
      <c r="P67" s="12">
        <v>31</v>
      </c>
      <c r="Q67" s="12">
        <v>47</v>
      </c>
      <c r="R67" s="9">
        <v>8407</v>
      </c>
      <c r="S67" s="3" t="s">
        <v>506</v>
      </c>
      <c r="T67" s="3" t="s">
        <v>340</v>
      </c>
      <c r="U67" s="4" t="s">
        <v>631</v>
      </c>
      <c r="V67" s="8" t="s">
        <v>1011</v>
      </c>
      <c r="W67" s="12">
        <v>70</v>
      </c>
      <c r="X67" s="9">
        <v>55140</v>
      </c>
      <c r="Y67" s="8">
        <v>14</v>
      </c>
      <c r="Z67" s="44">
        <v>0</v>
      </c>
      <c r="AA67" s="8">
        <v>90</v>
      </c>
      <c r="AB67" s="8">
        <v>5</v>
      </c>
      <c r="AC67" s="8">
        <v>255</v>
      </c>
      <c r="AD67" s="12">
        <v>9.26</v>
      </c>
      <c r="AE67" s="8">
        <v>10</v>
      </c>
      <c r="AF67" s="14">
        <v>2.608695652173913</v>
      </c>
      <c r="AG67" s="8" t="s">
        <v>386</v>
      </c>
      <c r="AH67" s="15" t="s">
        <v>600</v>
      </c>
      <c r="AI67" s="15" t="s">
        <v>430</v>
      </c>
      <c r="AJ67" s="16">
        <v>310.94281274725694</v>
      </c>
      <c r="AK67" s="16">
        <v>38.405429881507324</v>
      </c>
      <c r="AL67" s="17">
        <f>(48397/B67)*100</f>
        <v>46.13588049684941</v>
      </c>
      <c r="AM67" s="43">
        <v>0.165870678067893</v>
      </c>
      <c r="AN67" s="43">
        <v>0.22878714216261</v>
      </c>
    </row>
    <row r="68" spans="1:40" ht="12">
      <c r="A68" s="7" t="s">
        <v>994</v>
      </c>
      <c r="B68" s="8" t="s">
        <v>730</v>
      </c>
      <c r="C68" s="8" t="s">
        <v>883</v>
      </c>
      <c r="D68" s="9" t="s">
        <v>450</v>
      </c>
      <c r="E68" s="10">
        <f t="shared" si="2"/>
        <v>8.273748723186927</v>
      </c>
      <c r="F68" s="9">
        <v>183000</v>
      </c>
      <c r="G68" s="9">
        <v>173900</v>
      </c>
      <c r="H68" s="10">
        <f t="shared" si="3"/>
        <v>5.23289246693502</v>
      </c>
      <c r="I68" s="11">
        <v>13.21</v>
      </c>
      <c r="J68" s="9">
        <v>37364</v>
      </c>
      <c r="K68" s="9">
        <v>272.5</v>
      </c>
      <c r="L68" s="9">
        <v>501.7</v>
      </c>
      <c r="M68" s="12">
        <v>34.2</v>
      </c>
      <c r="N68" s="12">
        <v>37.5</v>
      </c>
      <c r="O68" s="12">
        <v>8245</v>
      </c>
      <c r="P68" s="12">
        <v>10.62</v>
      </c>
      <c r="Q68" s="12">
        <v>23</v>
      </c>
      <c r="R68" s="9">
        <v>8217</v>
      </c>
      <c r="S68" s="3" t="s">
        <v>187</v>
      </c>
      <c r="T68" s="3" t="s">
        <v>341</v>
      </c>
      <c r="U68" s="4" t="s">
        <v>631</v>
      </c>
      <c r="V68" s="8" t="s">
        <v>1012</v>
      </c>
      <c r="W68" s="12">
        <v>68</v>
      </c>
      <c r="X68" s="9">
        <v>52847</v>
      </c>
      <c r="Y68" s="8">
        <v>14</v>
      </c>
      <c r="Z68" s="44">
        <v>5.5</v>
      </c>
      <c r="AA68" s="8">
        <v>82</v>
      </c>
      <c r="AB68" s="8">
        <v>9</v>
      </c>
      <c r="AC68" s="8">
        <v>256</v>
      </c>
      <c r="AD68" s="12">
        <v>32.32</v>
      </c>
      <c r="AE68" s="8">
        <v>2</v>
      </c>
      <c r="AF68" s="14">
        <v>2.314814814814815</v>
      </c>
      <c r="AG68" s="8" t="s">
        <v>386</v>
      </c>
      <c r="AH68" s="15" t="s">
        <v>601</v>
      </c>
      <c r="AI68" s="15" t="s">
        <v>431</v>
      </c>
      <c r="AJ68" s="16">
        <v>376.75887933921194</v>
      </c>
      <c r="AK68" s="16">
        <v>19.571760241098335</v>
      </c>
      <c r="AL68" s="17">
        <f>(47875/B68)*100</f>
        <v>53.43788369237639</v>
      </c>
      <c r="AM68" s="43">
        <v>0.237749748855899</v>
      </c>
      <c r="AN68" s="43">
        <v>0.245563120884027</v>
      </c>
    </row>
    <row r="69" spans="1:40" ht="12">
      <c r="A69" s="7" t="s">
        <v>995</v>
      </c>
      <c r="B69" s="8" t="s">
        <v>731</v>
      </c>
      <c r="C69" s="8" t="s">
        <v>884</v>
      </c>
      <c r="D69" s="9" t="s">
        <v>451</v>
      </c>
      <c r="E69" s="10">
        <f t="shared" si="2"/>
        <v>6.144772117962467</v>
      </c>
      <c r="F69" s="9">
        <v>325000</v>
      </c>
      <c r="G69" s="9">
        <v>350000</v>
      </c>
      <c r="H69" s="10">
        <f t="shared" si="3"/>
        <v>-7.142857142857142</v>
      </c>
      <c r="I69" s="11">
        <v>12.64</v>
      </c>
      <c r="J69" s="9">
        <v>80626</v>
      </c>
      <c r="K69" s="9">
        <v>302</v>
      </c>
      <c r="L69" s="9">
        <v>1086</v>
      </c>
      <c r="M69" s="12">
        <v>42.6</v>
      </c>
      <c r="N69" s="12">
        <v>3.8</v>
      </c>
      <c r="O69" s="12">
        <v>1143</v>
      </c>
      <c r="P69" s="12">
        <v>17</v>
      </c>
      <c r="Q69" s="12" t="s">
        <v>1129</v>
      </c>
      <c r="R69" s="9">
        <v>7662</v>
      </c>
      <c r="S69" s="3" t="s">
        <v>188</v>
      </c>
      <c r="T69" s="3" t="s">
        <v>342</v>
      </c>
      <c r="U69" s="4" t="s">
        <v>897</v>
      </c>
      <c r="V69" s="1" t="s">
        <v>1013</v>
      </c>
      <c r="W69" s="12">
        <v>90</v>
      </c>
      <c r="X69" s="9">
        <v>52144</v>
      </c>
      <c r="Y69" s="8">
        <v>14</v>
      </c>
      <c r="Z69" s="44">
        <v>0.4</v>
      </c>
      <c r="AA69" s="8">
        <v>100</v>
      </c>
      <c r="AB69" s="8">
        <v>3</v>
      </c>
      <c r="AC69" s="8">
        <v>11</v>
      </c>
      <c r="AD69" s="12">
        <v>20.04</v>
      </c>
      <c r="AE69" s="8">
        <v>0</v>
      </c>
      <c r="AF69" s="14">
        <v>0.09900990099009901</v>
      </c>
      <c r="AG69" s="8" t="s">
        <v>386</v>
      </c>
      <c r="AH69" s="15" t="s">
        <v>1135</v>
      </c>
      <c r="AI69" s="15" t="s">
        <v>432</v>
      </c>
      <c r="AJ69" s="16">
        <v>246.70102915951972</v>
      </c>
      <c r="AK69" s="16">
        <v>48.361835334476844</v>
      </c>
      <c r="AL69" s="17">
        <f>(8609/B69)*100</f>
        <v>73.8336192109777</v>
      </c>
      <c r="AM69" s="43">
        <v>0.257289879931389</v>
      </c>
      <c r="AN69" s="43">
        <v>0.171526586620926</v>
      </c>
    </row>
    <row r="70" spans="1:40" ht="12">
      <c r="A70" s="7" t="s">
        <v>996</v>
      </c>
      <c r="B70" s="8" t="s">
        <v>279</v>
      </c>
      <c r="C70" s="8" t="s">
        <v>885</v>
      </c>
      <c r="D70" s="9" t="s">
        <v>361</v>
      </c>
      <c r="E70" s="10">
        <f t="shared" si="2"/>
        <v>9.491803278688526</v>
      </c>
      <c r="F70" s="9">
        <v>232500</v>
      </c>
      <c r="G70" s="9">
        <v>215000</v>
      </c>
      <c r="H70" s="10">
        <f t="shared" si="3"/>
        <v>8.13953488372093</v>
      </c>
      <c r="I70" s="11">
        <v>14.06</v>
      </c>
      <c r="J70" s="9">
        <v>45654</v>
      </c>
      <c r="K70" s="9">
        <v>262.4</v>
      </c>
      <c r="L70" s="9">
        <v>463.2</v>
      </c>
      <c r="M70" s="12">
        <v>35.7</v>
      </c>
      <c r="N70" s="12">
        <v>30.4</v>
      </c>
      <c r="O70" s="12">
        <v>11047</v>
      </c>
      <c r="P70" s="12">
        <v>6.71</v>
      </c>
      <c r="Q70" s="12">
        <v>12</v>
      </c>
      <c r="R70" s="9">
        <v>8402</v>
      </c>
      <c r="S70" s="3" t="s">
        <v>189</v>
      </c>
      <c r="T70" s="3" t="s">
        <v>343</v>
      </c>
      <c r="U70" s="4" t="s">
        <v>630</v>
      </c>
      <c r="V70" s="8" t="s">
        <v>1014</v>
      </c>
      <c r="W70" s="12">
        <v>74</v>
      </c>
      <c r="X70" s="9">
        <v>47932</v>
      </c>
      <c r="Y70" s="8">
        <v>14</v>
      </c>
      <c r="Z70" s="44">
        <v>4.8</v>
      </c>
      <c r="AA70" s="8">
        <v>88</v>
      </c>
      <c r="AB70" s="8">
        <v>3</v>
      </c>
      <c r="AC70" s="8">
        <v>78</v>
      </c>
      <c r="AD70" s="12">
        <v>12.43</v>
      </c>
      <c r="AE70" s="8">
        <v>1</v>
      </c>
      <c r="AF70" s="14">
        <v>3.5294117647058827</v>
      </c>
      <c r="AG70" s="8" t="s">
        <v>386</v>
      </c>
      <c r="AH70" s="15" t="s">
        <v>1129</v>
      </c>
      <c r="AI70" s="15" t="s">
        <v>1129</v>
      </c>
      <c r="AJ70" s="16">
        <v>245.84560591220728</v>
      </c>
      <c r="AK70" s="16">
        <v>31.799501380108627</v>
      </c>
      <c r="AL70" s="17">
        <f>(29886/B70)*100</f>
        <v>53.22055026266583</v>
      </c>
      <c r="AM70" s="43">
        <v>0.243967589707061</v>
      </c>
      <c r="AN70" s="43">
        <v>0.26177544297035</v>
      </c>
    </row>
    <row r="71" spans="1:40" ht="12">
      <c r="A71" s="7" t="s">
        <v>997</v>
      </c>
      <c r="B71" s="8" t="s">
        <v>280</v>
      </c>
      <c r="C71" s="8" t="s">
        <v>886</v>
      </c>
      <c r="D71" s="9" t="s">
        <v>452</v>
      </c>
      <c r="E71" s="10">
        <f t="shared" si="2"/>
        <v>-9.516129032258064</v>
      </c>
      <c r="F71" s="9">
        <v>360000</v>
      </c>
      <c r="G71" s="9">
        <v>350000</v>
      </c>
      <c r="H71" s="10">
        <f t="shared" si="3"/>
        <v>2.857142857142857</v>
      </c>
      <c r="I71" s="11">
        <v>8.38</v>
      </c>
      <c r="J71" s="9">
        <v>73467</v>
      </c>
      <c r="K71" s="9">
        <v>336</v>
      </c>
      <c r="L71" s="9" t="s">
        <v>1129</v>
      </c>
      <c r="M71" s="12">
        <v>43.7</v>
      </c>
      <c r="N71" s="12">
        <v>1.7</v>
      </c>
      <c r="O71" s="12">
        <v>562</v>
      </c>
      <c r="P71" s="12">
        <v>30.01</v>
      </c>
      <c r="Q71" s="12">
        <v>52</v>
      </c>
      <c r="R71" s="9">
        <v>10513</v>
      </c>
      <c r="S71" s="3" t="s">
        <v>151</v>
      </c>
      <c r="T71" s="3" t="s">
        <v>85</v>
      </c>
      <c r="U71" s="4" t="s">
        <v>629</v>
      </c>
      <c r="V71" s="1" t="s">
        <v>805</v>
      </c>
      <c r="W71" s="12">
        <v>100</v>
      </c>
      <c r="X71" s="9">
        <v>53686</v>
      </c>
      <c r="Y71" s="8">
        <v>10</v>
      </c>
      <c r="Z71" s="44">
        <v>0</v>
      </c>
      <c r="AA71" s="8">
        <v>100</v>
      </c>
      <c r="AB71" s="8">
        <v>3</v>
      </c>
      <c r="AC71" s="8">
        <v>3</v>
      </c>
      <c r="AD71" s="12">
        <v>17.11</v>
      </c>
      <c r="AE71" s="8">
        <v>0</v>
      </c>
      <c r="AF71" s="14">
        <v>0.1075268817204301</v>
      </c>
      <c r="AG71" s="8" t="s">
        <v>386</v>
      </c>
      <c r="AH71" s="15" t="s">
        <v>948</v>
      </c>
      <c r="AI71" s="15" t="s">
        <v>950</v>
      </c>
      <c r="AJ71" s="16">
        <v>307.3401168268325</v>
      </c>
      <c r="AK71" s="16">
        <v>75.92952703975881</v>
      </c>
      <c r="AL71" s="17">
        <f>(3881/B71)*100</f>
        <v>73.12982852835877</v>
      </c>
      <c r="AM71" s="43">
        <v>0.169587337478802</v>
      </c>
      <c r="AN71" s="43">
        <v>0.0942151874882231</v>
      </c>
    </row>
    <row r="72" spans="1:40" ht="12">
      <c r="A72" s="7" t="s">
        <v>998</v>
      </c>
      <c r="B72" s="8" t="s">
        <v>281</v>
      </c>
      <c r="C72" s="8" t="s">
        <v>887</v>
      </c>
      <c r="D72" s="9" t="s">
        <v>820</v>
      </c>
      <c r="E72" s="10">
        <f t="shared" si="2"/>
        <v>7.214285714285714</v>
      </c>
      <c r="F72" s="9">
        <v>210950</v>
      </c>
      <c r="G72" s="9">
        <v>154500</v>
      </c>
      <c r="H72" s="10">
        <f t="shared" si="3"/>
        <v>36.53721682847896</v>
      </c>
      <c r="I72" s="11">
        <v>15.68</v>
      </c>
      <c r="J72" s="9">
        <v>66925</v>
      </c>
      <c r="K72" s="9">
        <v>382</v>
      </c>
      <c r="L72" s="9">
        <v>245</v>
      </c>
      <c r="M72" s="12">
        <v>33.8</v>
      </c>
      <c r="N72" s="12">
        <v>6.8</v>
      </c>
      <c r="O72" s="12">
        <v>1093</v>
      </c>
      <c r="P72" s="12">
        <v>33.11</v>
      </c>
      <c r="Q72" s="12">
        <v>45</v>
      </c>
      <c r="R72" s="9">
        <v>6338</v>
      </c>
      <c r="S72" s="3" t="s">
        <v>190</v>
      </c>
      <c r="T72" s="3" t="s">
        <v>40</v>
      </c>
      <c r="U72" s="4" t="s">
        <v>628</v>
      </c>
      <c r="V72" s="8" t="s">
        <v>1015</v>
      </c>
      <c r="W72" s="12">
        <v>82</v>
      </c>
      <c r="X72" s="9">
        <v>48334</v>
      </c>
      <c r="Y72" s="8">
        <v>15</v>
      </c>
      <c r="Z72" s="44">
        <v>0.8</v>
      </c>
      <c r="AA72" s="8">
        <v>100</v>
      </c>
      <c r="AB72" s="8">
        <v>28</v>
      </c>
      <c r="AC72" s="8">
        <v>43</v>
      </c>
      <c r="AD72" s="12">
        <v>8</v>
      </c>
      <c r="AE72" s="8">
        <v>4</v>
      </c>
      <c r="AF72" s="14">
        <v>0.4878048780487805</v>
      </c>
      <c r="AG72" s="8" t="s">
        <v>385</v>
      </c>
      <c r="AH72" s="15" t="s">
        <v>602</v>
      </c>
      <c r="AI72" s="15" t="s">
        <v>433</v>
      </c>
      <c r="AJ72" s="16">
        <v>191.64138958251195</v>
      </c>
      <c r="AK72" s="16">
        <v>24.30525255180269</v>
      </c>
      <c r="AL72" s="17">
        <f>(13923/B72)*100</f>
        <v>60.9935602575897</v>
      </c>
      <c r="AM72" s="43">
        <v>0.127042537346125</v>
      </c>
      <c r="AN72" s="43">
        <v>0.10951942874666</v>
      </c>
    </row>
    <row r="73" spans="1:40" ht="12">
      <c r="A73" s="7" t="s">
        <v>999</v>
      </c>
      <c r="B73" s="8" t="s">
        <v>282</v>
      </c>
      <c r="C73" s="8" t="s">
        <v>888</v>
      </c>
      <c r="D73" s="9" t="s">
        <v>453</v>
      </c>
      <c r="E73" s="10">
        <f t="shared" si="2"/>
        <v>9.274611398963732</v>
      </c>
      <c r="F73" s="9">
        <v>305000</v>
      </c>
      <c r="G73" s="9">
        <v>293500</v>
      </c>
      <c r="H73" s="10">
        <f t="shared" si="3"/>
        <v>3.9182282793867125</v>
      </c>
      <c r="I73" s="11">
        <v>8.42</v>
      </c>
      <c r="J73" s="9">
        <v>73968</v>
      </c>
      <c r="K73" s="9">
        <v>378</v>
      </c>
      <c r="L73" s="9">
        <v>608</v>
      </c>
      <c r="M73" s="12">
        <v>41.9</v>
      </c>
      <c r="N73" s="12">
        <v>3.1</v>
      </c>
      <c r="O73" s="12">
        <v>4528</v>
      </c>
      <c r="P73" s="12">
        <v>16</v>
      </c>
      <c r="Q73" s="12" t="s">
        <v>1129</v>
      </c>
      <c r="R73" s="9">
        <v>7853</v>
      </c>
      <c r="S73" s="3" t="s">
        <v>191</v>
      </c>
      <c r="T73" s="3" t="s">
        <v>41</v>
      </c>
      <c r="U73" s="4" t="s">
        <v>1027</v>
      </c>
      <c r="V73" s="1" t="s">
        <v>1016</v>
      </c>
      <c r="W73" s="12">
        <v>91</v>
      </c>
      <c r="X73" s="9">
        <v>56338</v>
      </c>
      <c r="Y73" s="8">
        <v>14</v>
      </c>
      <c r="Z73" s="44">
        <v>0.7</v>
      </c>
      <c r="AA73" s="8">
        <v>100</v>
      </c>
      <c r="AB73" s="8">
        <v>5</v>
      </c>
      <c r="AC73" s="8">
        <v>24</v>
      </c>
      <c r="AD73" s="12">
        <v>3.61</v>
      </c>
      <c r="AE73" s="8">
        <v>0</v>
      </c>
      <c r="AF73" s="14">
        <v>2</v>
      </c>
      <c r="AG73" s="8" t="s">
        <v>386</v>
      </c>
      <c r="AH73" s="15" t="s">
        <v>943</v>
      </c>
      <c r="AI73" s="15" t="s">
        <v>434</v>
      </c>
      <c r="AJ73" s="16">
        <v>233.17473879503956</v>
      </c>
      <c r="AK73" s="16">
        <v>65.7635973049507</v>
      </c>
      <c r="AL73" s="17">
        <f>(14957/B73)*100</f>
        <v>73.02509520554634</v>
      </c>
      <c r="AM73" s="43">
        <v>0.224587442632555</v>
      </c>
      <c r="AN73" s="43">
        <v>0.248999121179572</v>
      </c>
    </row>
    <row r="74" spans="1:40" ht="12">
      <c r="A74" s="7" t="s">
        <v>1000</v>
      </c>
      <c r="B74" s="8" t="s">
        <v>283</v>
      </c>
      <c r="C74" s="8" t="s">
        <v>889</v>
      </c>
      <c r="D74" s="9" t="s">
        <v>221</v>
      </c>
      <c r="E74" s="10">
        <f t="shared" si="2"/>
        <v>4.82258064516129</v>
      </c>
      <c r="F74" s="9">
        <v>168000</v>
      </c>
      <c r="G74" s="9">
        <v>155000</v>
      </c>
      <c r="H74" s="10">
        <f t="shared" si="3"/>
        <v>8.38709677419355</v>
      </c>
      <c r="I74" s="11">
        <v>13.11</v>
      </c>
      <c r="J74" s="9">
        <v>56879</v>
      </c>
      <c r="K74" s="9">
        <v>349.2</v>
      </c>
      <c r="L74" s="9">
        <v>336</v>
      </c>
      <c r="M74" s="12">
        <v>36.1</v>
      </c>
      <c r="N74" s="12">
        <v>15.1</v>
      </c>
      <c r="O74" s="12">
        <v>1718</v>
      </c>
      <c r="P74" s="12">
        <v>36.22</v>
      </c>
      <c r="Q74" s="12" t="s">
        <v>1129</v>
      </c>
      <c r="R74" s="9">
        <v>8830</v>
      </c>
      <c r="S74" s="3" t="s">
        <v>192</v>
      </c>
      <c r="T74" s="3" t="s">
        <v>42</v>
      </c>
      <c r="U74" s="4" t="s">
        <v>627</v>
      </c>
      <c r="V74" s="8" t="s">
        <v>546</v>
      </c>
      <c r="W74" s="12">
        <v>72</v>
      </c>
      <c r="X74" s="9">
        <v>50699</v>
      </c>
      <c r="Y74" s="8">
        <v>13</v>
      </c>
      <c r="Z74" s="44">
        <v>3.8</v>
      </c>
      <c r="AA74" s="8">
        <v>100</v>
      </c>
      <c r="AB74" s="8">
        <v>5</v>
      </c>
      <c r="AC74" s="8">
        <v>58</v>
      </c>
      <c r="AD74" s="12">
        <v>18.27</v>
      </c>
      <c r="AE74" s="8">
        <v>1</v>
      </c>
      <c r="AF74" s="14">
        <v>0.33175355450236965</v>
      </c>
      <c r="AG74" s="8" t="s">
        <v>386</v>
      </c>
      <c r="AH74" s="15" t="s">
        <v>603</v>
      </c>
      <c r="AI74" s="15" t="s">
        <v>435</v>
      </c>
      <c r="AJ74" s="16">
        <v>287.3845427852349</v>
      </c>
      <c r="AK74" s="16">
        <v>25.633992239932887</v>
      </c>
      <c r="AL74" s="17">
        <f>(19769/B74)*100</f>
        <v>51.827286073825505</v>
      </c>
      <c r="AM74" s="43">
        <v>0.209731543624161</v>
      </c>
      <c r="AN74" s="43">
        <v>0.230704697986577</v>
      </c>
    </row>
    <row r="75" spans="1:40" ht="12">
      <c r="A75" s="7" t="s">
        <v>1001</v>
      </c>
      <c r="B75" s="8" t="s">
        <v>284</v>
      </c>
      <c r="C75" s="8" t="s">
        <v>890</v>
      </c>
      <c r="D75" s="9" t="s">
        <v>454</v>
      </c>
      <c r="E75" s="10">
        <f t="shared" si="2"/>
        <v>15.795984171185696</v>
      </c>
      <c r="F75" s="9">
        <v>160000</v>
      </c>
      <c r="G75" s="9">
        <v>137000</v>
      </c>
      <c r="H75" s="10">
        <f t="shared" si="3"/>
        <v>16.78832116788321</v>
      </c>
      <c r="I75" s="11">
        <v>11.27</v>
      </c>
      <c r="J75" s="9">
        <v>66508</v>
      </c>
      <c r="K75" s="9">
        <v>300</v>
      </c>
      <c r="L75" s="9">
        <v>440</v>
      </c>
      <c r="M75" s="12">
        <v>37.4</v>
      </c>
      <c r="N75" s="12">
        <v>2.8</v>
      </c>
      <c r="O75" s="12">
        <v>854</v>
      </c>
      <c r="P75" s="12">
        <v>30.22</v>
      </c>
      <c r="Q75" s="12" t="s">
        <v>1129</v>
      </c>
      <c r="R75" s="9">
        <v>7309</v>
      </c>
      <c r="S75" s="3" t="s">
        <v>193</v>
      </c>
      <c r="T75" s="3" t="s">
        <v>43</v>
      </c>
      <c r="U75" s="4" t="s">
        <v>626</v>
      </c>
      <c r="V75" s="1" t="s">
        <v>1017</v>
      </c>
      <c r="W75" s="12">
        <v>83</v>
      </c>
      <c r="X75" s="9">
        <v>51523</v>
      </c>
      <c r="Y75" s="8">
        <v>14</v>
      </c>
      <c r="Z75" s="44">
        <v>1.5</v>
      </c>
      <c r="AA75" s="8">
        <v>100</v>
      </c>
      <c r="AB75" s="8">
        <v>6</v>
      </c>
      <c r="AC75" s="8">
        <v>25</v>
      </c>
      <c r="AD75" s="12">
        <v>21.38</v>
      </c>
      <c r="AE75" s="8">
        <v>0</v>
      </c>
      <c r="AF75" s="14">
        <v>0.24561403508771928</v>
      </c>
      <c r="AG75" s="8" t="s">
        <v>385</v>
      </c>
      <c r="AH75" s="15" t="s">
        <v>939</v>
      </c>
      <c r="AI75" s="15" t="s">
        <v>436</v>
      </c>
      <c r="AJ75" s="16">
        <v>250.50094700785814</v>
      </c>
      <c r="AK75" s="16">
        <v>26.78251057827927</v>
      </c>
      <c r="AL75" s="17">
        <f>(18130/B75)*100</f>
        <v>73.06064880112835</v>
      </c>
      <c r="AM75" s="43">
        <v>0.185371750957082</v>
      </c>
      <c r="AN75" s="43">
        <v>0.169252468265162</v>
      </c>
    </row>
    <row r="76" spans="1:40" ht="12">
      <c r="A76" s="7" t="s">
        <v>366</v>
      </c>
      <c r="B76" s="8" t="s">
        <v>285</v>
      </c>
      <c r="C76" s="8" t="s">
        <v>876</v>
      </c>
      <c r="D76" s="9" t="s">
        <v>455</v>
      </c>
      <c r="E76" s="10">
        <f t="shared" si="2"/>
        <v>13.695090439276486</v>
      </c>
      <c r="F76" s="9">
        <v>290000</v>
      </c>
      <c r="G76" s="9">
        <v>267500</v>
      </c>
      <c r="H76" s="10">
        <f t="shared" si="3"/>
        <v>8.411214953271028</v>
      </c>
      <c r="I76" s="11">
        <v>17.46</v>
      </c>
      <c r="J76" s="9">
        <v>60812</v>
      </c>
      <c r="K76" s="9" t="s">
        <v>1129</v>
      </c>
      <c r="L76" s="9">
        <v>264</v>
      </c>
      <c r="M76" s="12">
        <v>37.7</v>
      </c>
      <c r="N76" s="12">
        <v>6.7</v>
      </c>
      <c r="O76" s="12">
        <v>2006</v>
      </c>
      <c r="P76" s="12">
        <v>25.67</v>
      </c>
      <c r="Q76" s="12" t="s">
        <v>1129</v>
      </c>
      <c r="R76" s="9">
        <v>8520</v>
      </c>
      <c r="S76" s="3" t="s">
        <v>194</v>
      </c>
      <c r="T76" s="3" t="s">
        <v>44</v>
      </c>
      <c r="U76" s="4" t="s">
        <v>625</v>
      </c>
      <c r="V76" s="1" t="s">
        <v>365</v>
      </c>
      <c r="W76" s="12">
        <v>89</v>
      </c>
      <c r="X76" s="9">
        <v>48314</v>
      </c>
      <c r="Y76" s="8">
        <v>14</v>
      </c>
      <c r="Z76" s="44">
        <v>0.9</v>
      </c>
      <c r="AA76" s="8">
        <v>100</v>
      </c>
      <c r="AB76" s="8">
        <v>4</v>
      </c>
      <c r="AC76" s="8">
        <v>16</v>
      </c>
      <c r="AD76" s="12">
        <v>32.3</v>
      </c>
      <c r="AE76" s="8">
        <v>0</v>
      </c>
      <c r="AF76" s="14">
        <v>0.9615384615384615</v>
      </c>
      <c r="AG76" s="8" t="s">
        <v>386</v>
      </c>
      <c r="AH76" s="15" t="s">
        <v>937</v>
      </c>
      <c r="AI76" s="15" t="s">
        <v>437</v>
      </c>
      <c r="AJ76" s="16">
        <v>286.330078498947</v>
      </c>
      <c r="AK76" s="16">
        <v>29.72908290254643</v>
      </c>
      <c r="AL76" s="17">
        <f>(7059/B76)*100</f>
        <v>67.57610568638714</v>
      </c>
      <c r="AM76" s="43">
        <v>0.220179973195482</v>
      </c>
      <c r="AN76" s="43">
        <v>0.134022592379858</v>
      </c>
    </row>
    <row r="77" spans="1:40" ht="12">
      <c r="A77" s="7" t="s">
        <v>1002</v>
      </c>
      <c r="B77" s="8" t="s">
        <v>286</v>
      </c>
      <c r="C77" s="8" t="s">
        <v>891</v>
      </c>
      <c r="D77" s="9" t="s">
        <v>456</v>
      </c>
      <c r="E77" s="10">
        <f t="shared" si="2"/>
        <v>9.894736842105264</v>
      </c>
      <c r="F77" s="9">
        <v>275000</v>
      </c>
      <c r="G77" s="9">
        <v>245000</v>
      </c>
      <c r="H77" s="10">
        <f t="shared" si="3"/>
        <v>12.244897959183673</v>
      </c>
      <c r="I77" s="11">
        <v>15.96</v>
      </c>
      <c r="J77" s="9">
        <v>97748</v>
      </c>
      <c r="K77" s="9">
        <v>264</v>
      </c>
      <c r="L77" s="9">
        <v>385</v>
      </c>
      <c r="M77" s="12">
        <v>38</v>
      </c>
      <c r="N77" s="12">
        <v>3.9</v>
      </c>
      <c r="O77" s="12">
        <v>846</v>
      </c>
      <c r="P77" s="12">
        <v>26.97</v>
      </c>
      <c r="Q77" s="12" t="s">
        <v>1129</v>
      </c>
      <c r="R77" s="9">
        <v>6517</v>
      </c>
      <c r="S77" s="3" t="s">
        <v>517</v>
      </c>
      <c r="T77" s="3" t="s">
        <v>45</v>
      </c>
      <c r="U77" s="4" t="s">
        <v>624</v>
      </c>
      <c r="V77" s="1" t="s">
        <v>1018</v>
      </c>
      <c r="W77" s="12">
        <v>95</v>
      </c>
      <c r="X77" s="9">
        <v>49747</v>
      </c>
      <c r="Y77" s="8">
        <v>13</v>
      </c>
      <c r="Z77" s="44">
        <v>0.1</v>
      </c>
      <c r="AA77" s="8">
        <v>100</v>
      </c>
      <c r="AB77" s="8">
        <v>14</v>
      </c>
      <c r="AC77" s="8">
        <v>13</v>
      </c>
      <c r="AD77" s="12">
        <v>33.44</v>
      </c>
      <c r="AE77" s="8">
        <v>0</v>
      </c>
      <c r="AF77" s="14">
        <v>0.13793103448275862</v>
      </c>
      <c r="AG77" s="8" t="s">
        <v>385</v>
      </c>
      <c r="AH77" s="15" t="s">
        <v>949</v>
      </c>
      <c r="AI77" s="15" t="s">
        <v>959</v>
      </c>
      <c r="AJ77" s="16">
        <v>169.30151843817788</v>
      </c>
      <c r="AK77" s="16">
        <v>57.088294368120835</v>
      </c>
      <c r="AL77" s="17">
        <f>(8287/B77)*100</f>
        <v>66.5782919579015</v>
      </c>
      <c r="AM77" s="43">
        <v>0.200851610829919</v>
      </c>
      <c r="AN77" s="43">
        <v>0.160681288663935</v>
      </c>
    </row>
    <row r="78" spans="1:40" ht="12">
      <c r="A78" s="7" t="s">
        <v>685</v>
      </c>
      <c r="B78" s="8" t="s">
        <v>287</v>
      </c>
      <c r="C78" s="8" t="s">
        <v>892</v>
      </c>
      <c r="D78" s="9" t="s">
        <v>820</v>
      </c>
      <c r="E78" s="10">
        <f t="shared" si="2"/>
        <v>9.700000000000001</v>
      </c>
      <c r="F78" s="9">
        <v>285750</v>
      </c>
      <c r="G78" s="9">
        <v>260000</v>
      </c>
      <c r="H78" s="10">
        <f t="shared" si="3"/>
        <v>9.903846153846153</v>
      </c>
      <c r="I78" s="11">
        <v>13.28</v>
      </c>
      <c r="J78" s="9">
        <v>52476</v>
      </c>
      <c r="K78" s="9">
        <v>363.6</v>
      </c>
      <c r="L78" s="9">
        <v>759.6</v>
      </c>
      <c r="M78" s="12">
        <v>37.5</v>
      </c>
      <c r="N78" s="12">
        <v>15</v>
      </c>
      <c r="O78" s="12">
        <v>6885</v>
      </c>
      <c r="P78" s="12">
        <v>5.99</v>
      </c>
      <c r="Q78" s="12">
        <v>14</v>
      </c>
      <c r="R78" s="9">
        <v>10209</v>
      </c>
      <c r="S78" s="3" t="s">
        <v>518</v>
      </c>
      <c r="T78" s="3" t="s">
        <v>46</v>
      </c>
      <c r="U78" s="4" t="s">
        <v>623</v>
      </c>
      <c r="V78" s="1" t="s">
        <v>367</v>
      </c>
      <c r="W78" s="12">
        <v>65</v>
      </c>
      <c r="X78" s="9">
        <v>43931</v>
      </c>
      <c r="Y78" s="8">
        <v>11</v>
      </c>
      <c r="Z78" s="44">
        <v>3.8</v>
      </c>
      <c r="AA78" s="8">
        <v>55</v>
      </c>
      <c r="AB78" s="8">
        <v>3</v>
      </c>
      <c r="AC78" s="8">
        <v>68</v>
      </c>
      <c r="AD78" s="12">
        <v>28.78</v>
      </c>
      <c r="AE78" s="8">
        <v>0</v>
      </c>
      <c r="AF78" s="14">
        <v>3.3333333333333335</v>
      </c>
      <c r="AG78" s="8" t="s">
        <v>386</v>
      </c>
      <c r="AH78" s="15" t="s">
        <v>604</v>
      </c>
      <c r="AI78" s="15" t="s">
        <v>438</v>
      </c>
      <c r="AJ78" s="16">
        <v>321.2254021800243</v>
      </c>
      <c r="AK78" s="16">
        <v>35.03736148140087</v>
      </c>
      <c r="AL78" s="17">
        <f>(35420/B78)*100</f>
        <v>64.23998403975551</v>
      </c>
      <c r="AM78" s="43">
        <v>0.275676950142373</v>
      </c>
      <c r="AN78" s="43">
        <v>0.295627255744781</v>
      </c>
    </row>
    <row r="79" spans="1:40" ht="12">
      <c r="A79" s="7" t="s">
        <v>686</v>
      </c>
      <c r="B79" s="8" t="s">
        <v>288</v>
      </c>
      <c r="C79" s="8" t="s">
        <v>576</v>
      </c>
      <c r="D79" s="9" t="s">
        <v>477</v>
      </c>
      <c r="E79" s="10">
        <f t="shared" si="2"/>
        <v>15.927536231884057</v>
      </c>
      <c r="F79" s="9">
        <v>242250</v>
      </c>
      <c r="G79" s="9">
        <v>202000</v>
      </c>
      <c r="H79" s="10">
        <f t="shared" si="3"/>
        <v>19.925742574257427</v>
      </c>
      <c r="I79" s="11">
        <v>13.5</v>
      </c>
      <c r="J79" s="9">
        <v>75135</v>
      </c>
      <c r="K79" s="9">
        <v>188</v>
      </c>
      <c r="L79" s="9">
        <v>138</v>
      </c>
      <c r="M79" s="12">
        <v>36</v>
      </c>
      <c r="N79" s="12">
        <v>3.2</v>
      </c>
      <c r="O79" s="12">
        <v>1082</v>
      </c>
      <c r="P79" s="12">
        <v>43.41</v>
      </c>
      <c r="Q79" s="12" t="s">
        <v>1129</v>
      </c>
      <c r="R79" s="9">
        <v>6704</v>
      </c>
      <c r="S79" s="3" t="s">
        <v>519</v>
      </c>
      <c r="T79" s="3" t="s">
        <v>47</v>
      </c>
      <c r="U79" s="4" t="s">
        <v>622</v>
      </c>
      <c r="V79" s="1" t="s">
        <v>1019</v>
      </c>
      <c r="W79" s="12">
        <v>88</v>
      </c>
      <c r="X79" s="9">
        <v>54313</v>
      </c>
      <c r="Y79" s="8">
        <v>17</v>
      </c>
      <c r="Z79" s="44">
        <v>1.1</v>
      </c>
      <c r="AA79" s="8">
        <v>100</v>
      </c>
      <c r="AB79" s="8">
        <v>8</v>
      </c>
      <c r="AC79" s="8">
        <v>24</v>
      </c>
      <c r="AD79" s="12">
        <v>4.96</v>
      </c>
      <c r="AE79" s="8">
        <v>0</v>
      </c>
      <c r="AF79" s="14">
        <v>0.2608695652173913</v>
      </c>
      <c r="AG79" s="8" t="s">
        <v>385</v>
      </c>
      <c r="AH79" s="15" t="s">
        <v>942</v>
      </c>
      <c r="AI79" s="15" t="s">
        <v>439</v>
      </c>
      <c r="AJ79" s="16">
        <v>148.54771880819368</v>
      </c>
      <c r="AK79" s="16">
        <v>39.44079764121663</v>
      </c>
      <c r="AL79" s="17">
        <f>(8334/B79)*100</f>
        <v>64.66480446927375</v>
      </c>
      <c r="AM79" s="43">
        <v>0.147423960273122</v>
      </c>
      <c r="AN79" s="43">
        <v>0.201738050900062</v>
      </c>
    </row>
    <row r="80" spans="1:40" ht="12">
      <c r="A80" s="7" t="s">
        <v>687</v>
      </c>
      <c r="B80" s="8" t="s">
        <v>289</v>
      </c>
      <c r="C80" s="8" t="s">
        <v>577</v>
      </c>
      <c r="D80" s="9" t="s">
        <v>980</v>
      </c>
      <c r="E80" s="10">
        <f t="shared" si="2"/>
        <v>4.513977943062324</v>
      </c>
      <c r="F80" s="9">
        <v>222000</v>
      </c>
      <c r="G80" s="9">
        <v>222200</v>
      </c>
      <c r="H80" s="10">
        <f t="shared" si="3"/>
        <v>-0.09000900090009001</v>
      </c>
      <c r="I80" s="11">
        <v>12.25</v>
      </c>
      <c r="J80" s="9">
        <v>62811</v>
      </c>
      <c r="K80" s="9">
        <v>370.8</v>
      </c>
      <c r="L80" s="9">
        <v>646.92</v>
      </c>
      <c r="M80" s="12">
        <v>39.4</v>
      </c>
      <c r="N80" s="12">
        <v>5.5</v>
      </c>
      <c r="O80" s="12">
        <v>5773</v>
      </c>
      <c r="P80" s="12">
        <v>8.75</v>
      </c>
      <c r="Q80" s="12">
        <v>18</v>
      </c>
      <c r="R80" s="9">
        <v>7574</v>
      </c>
      <c r="S80" s="3" t="s">
        <v>520</v>
      </c>
      <c r="T80" s="3" t="s">
        <v>48</v>
      </c>
      <c r="U80" s="4" t="s">
        <v>621</v>
      </c>
      <c r="V80" s="1" t="s">
        <v>1020</v>
      </c>
      <c r="W80" s="12">
        <v>94</v>
      </c>
      <c r="X80" s="9">
        <v>47937</v>
      </c>
      <c r="Y80" s="8">
        <v>16</v>
      </c>
      <c r="Z80" s="44">
        <v>0</v>
      </c>
      <c r="AA80" s="8">
        <v>77</v>
      </c>
      <c r="AB80" s="8">
        <v>6</v>
      </c>
      <c r="AC80" s="8">
        <v>38</v>
      </c>
      <c r="AD80" s="12">
        <v>25.75</v>
      </c>
      <c r="AE80" s="8">
        <v>0</v>
      </c>
      <c r="AF80" s="14">
        <v>0.425531914893617</v>
      </c>
      <c r="AG80" s="8" t="s">
        <v>386</v>
      </c>
      <c r="AH80" s="15" t="s">
        <v>605</v>
      </c>
      <c r="AI80" s="15" t="s">
        <v>962</v>
      </c>
      <c r="AJ80" s="16">
        <v>271.16151763527796</v>
      </c>
      <c r="AK80" s="16">
        <v>94.82145903645737</v>
      </c>
      <c r="AL80" s="17">
        <f>(19487/B80)*100</f>
        <v>72.2731150094574</v>
      </c>
      <c r="AM80" s="43">
        <v>0.267032600229945</v>
      </c>
      <c r="AN80" s="43">
        <v>0.311538033601602</v>
      </c>
    </row>
    <row r="81" spans="1:40" ht="12">
      <c r="A81" s="7" t="s">
        <v>688</v>
      </c>
      <c r="B81" s="8" t="s">
        <v>290</v>
      </c>
      <c r="C81" s="8" t="s">
        <v>578</v>
      </c>
      <c r="D81" s="9" t="s">
        <v>457</v>
      </c>
      <c r="E81" s="10">
        <f t="shared" si="2"/>
        <v>34.55149501661129</v>
      </c>
      <c r="F81" s="9">
        <v>260000</v>
      </c>
      <c r="G81" s="9">
        <v>234200</v>
      </c>
      <c r="H81" s="10">
        <f t="shared" si="3"/>
        <v>11.016225448334756</v>
      </c>
      <c r="I81" s="11">
        <v>14.98</v>
      </c>
      <c r="J81" s="9">
        <v>58692</v>
      </c>
      <c r="K81" s="9">
        <v>521</v>
      </c>
      <c r="L81" s="9">
        <v>405</v>
      </c>
      <c r="M81" s="12">
        <v>37.4</v>
      </c>
      <c r="N81" s="12">
        <v>2.2</v>
      </c>
      <c r="O81" s="12">
        <v>722</v>
      </c>
      <c r="P81" s="12">
        <v>41.95</v>
      </c>
      <c r="Q81" s="12" t="s">
        <v>1129</v>
      </c>
      <c r="R81" s="9">
        <v>6899</v>
      </c>
      <c r="S81" s="3" t="s">
        <v>487</v>
      </c>
      <c r="T81" s="3" t="s">
        <v>92</v>
      </c>
      <c r="U81" s="4" t="s">
        <v>898</v>
      </c>
      <c r="V81" s="1" t="s">
        <v>984</v>
      </c>
      <c r="W81" s="12">
        <v>90</v>
      </c>
      <c r="X81" s="9">
        <v>48277</v>
      </c>
      <c r="Y81" s="8">
        <v>15</v>
      </c>
      <c r="Z81" s="44">
        <v>0</v>
      </c>
      <c r="AA81" s="8">
        <v>100</v>
      </c>
      <c r="AB81" s="8">
        <v>6</v>
      </c>
      <c r="AC81" s="8">
        <v>14</v>
      </c>
      <c r="AD81" s="12">
        <v>20.89</v>
      </c>
      <c r="AE81" s="8">
        <v>1</v>
      </c>
      <c r="AF81" s="14">
        <v>0</v>
      </c>
      <c r="AG81" s="8" t="s">
        <v>386</v>
      </c>
      <c r="AH81" s="15" t="s">
        <v>605</v>
      </c>
      <c r="AI81" s="15" t="s">
        <v>1136</v>
      </c>
      <c r="AJ81" s="16">
        <v>117.5166163141994</v>
      </c>
      <c r="AK81" s="16">
        <v>32.782159325806965</v>
      </c>
      <c r="AL81" s="17">
        <f>(4219/B81)*100</f>
        <v>67.08538718397202</v>
      </c>
      <c r="AM81" s="43">
        <v>0.270313245349022</v>
      </c>
      <c r="AN81" s="43">
        <v>0.111305453967244</v>
      </c>
    </row>
    <row r="82" spans="1:40" ht="12">
      <c r="A82" s="7" t="s">
        <v>689</v>
      </c>
      <c r="B82" s="8" t="s">
        <v>80</v>
      </c>
      <c r="C82" s="8" t="s">
        <v>615</v>
      </c>
      <c r="D82" s="9" t="s">
        <v>458</v>
      </c>
      <c r="E82" s="10">
        <f t="shared" si="2"/>
        <v>3.371619118191923</v>
      </c>
      <c r="F82" s="9">
        <v>199900</v>
      </c>
      <c r="G82" s="9">
        <v>205000</v>
      </c>
      <c r="H82" s="10">
        <f t="shared" si="3"/>
        <v>-2.4878048780487805</v>
      </c>
      <c r="I82" s="11">
        <v>11.74</v>
      </c>
      <c r="J82" s="9">
        <v>49627</v>
      </c>
      <c r="K82" s="9">
        <v>179</v>
      </c>
      <c r="L82" s="9">
        <v>235</v>
      </c>
      <c r="M82" s="12">
        <v>37.5</v>
      </c>
      <c r="N82" s="12">
        <v>14.2</v>
      </c>
      <c r="O82" s="12">
        <v>1955</v>
      </c>
      <c r="P82" s="12">
        <v>28.66</v>
      </c>
      <c r="Q82" s="12" t="s">
        <v>1129</v>
      </c>
      <c r="R82" s="9">
        <v>6658</v>
      </c>
      <c r="S82" s="3" t="s">
        <v>175</v>
      </c>
      <c r="T82" s="3" t="s">
        <v>49</v>
      </c>
      <c r="U82" s="4" t="s">
        <v>620</v>
      </c>
      <c r="V82" s="8" t="s">
        <v>1021</v>
      </c>
      <c r="W82" s="12">
        <v>80</v>
      </c>
      <c r="X82" s="9">
        <v>51418</v>
      </c>
      <c r="Y82" s="8">
        <v>15</v>
      </c>
      <c r="Z82" s="44">
        <v>2.5</v>
      </c>
      <c r="AA82" s="8">
        <v>100</v>
      </c>
      <c r="AB82" s="8">
        <v>3</v>
      </c>
      <c r="AC82" s="8">
        <v>108</v>
      </c>
      <c r="AD82" s="12">
        <v>3</v>
      </c>
      <c r="AE82" s="8">
        <v>0</v>
      </c>
      <c r="AF82" s="14">
        <v>0.5803571428571429</v>
      </c>
      <c r="AG82" s="8" t="s">
        <v>386</v>
      </c>
      <c r="AH82" s="15" t="s">
        <v>606</v>
      </c>
      <c r="AI82" s="15" t="s">
        <v>963</v>
      </c>
      <c r="AJ82" s="16">
        <v>262.3834177158475</v>
      </c>
      <c r="AK82" s="16">
        <v>14.796048210045253</v>
      </c>
      <c r="AL82" s="17">
        <f>(28691/B82)*100</f>
        <v>64.27483310184148</v>
      </c>
      <c r="AM82" s="43">
        <v>0.239706080021506</v>
      </c>
      <c r="AN82" s="43">
        <v>0.333796317039294</v>
      </c>
    </row>
    <row r="83" spans="1:40" ht="12">
      <c r="A83" s="7" t="s">
        <v>690</v>
      </c>
      <c r="B83" s="8" t="s">
        <v>81</v>
      </c>
      <c r="C83" s="8" t="s">
        <v>361</v>
      </c>
      <c r="D83" s="9" t="s">
        <v>141</v>
      </c>
      <c r="E83" s="10">
        <f t="shared" si="2"/>
        <v>10.909090909090908</v>
      </c>
      <c r="F83" s="9">
        <v>234900</v>
      </c>
      <c r="G83" s="9">
        <v>217500</v>
      </c>
      <c r="H83" s="10">
        <f t="shared" si="3"/>
        <v>8</v>
      </c>
      <c r="I83" s="11">
        <v>15.29</v>
      </c>
      <c r="J83" s="9">
        <v>52755</v>
      </c>
      <c r="K83" s="9">
        <v>240</v>
      </c>
      <c r="L83" s="9" t="s">
        <v>1129</v>
      </c>
      <c r="M83" s="12">
        <v>35.6</v>
      </c>
      <c r="N83" s="12">
        <v>4.4</v>
      </c>
      <c r="O83" s="12">
        <v>287</v>
      </c>
      <c r="P83" s="12">
        <v>41.33</v>
      </c>
      <c r="Q83" s="12" t="s">
        <v>1129</v>
      </c>
      <c r="R83" s="9">
        <v>6649</v>
      </c>
      <c r="S83" s="3" t="s">
        <v>176</v>
      </c>
      <c r="T83" s="3" t="s">
        <v>50</v>
      </c>
      <c r="U83" s="4" t="s">
        <v>619</v>
      </c>
      <c r="V83" s="1" t="s">
        <v>1177</v>
      </c>
      <c r="W83" s="12">
        <v>68</v>
      </c>
      <c r="X83" s="9">
        <v>48630</v>
      </c>
      <c r="Y83" s="8">
        <v>16</v>
      </c>
      <c r="Z83" s="44">
        <v>1.9</v>
      </c>
      <c r="AA83" s="8">
        <v>100</v>
      </c>
      <c r="AB83" s="8">
        <v>3</v>
      </c>
      <c r="AC83" s="8">
        <v>31</v>
      </c>
      <c r="AD83" s="12">
        <v>15.33</v>
      </c>
      <c r="AE83" s="8">
        <v>3</v>
      </c>
      <c r="AF83" s="14">
        <v>0.14367816091954025</v>
      </c>
      <c r="AG83" s="8" t="s">
        <v>385</v>
      </c>
      <c r="AH83" s="15" t="s">
        <v>1132</v>
      </c>
      <c r="AI83" s="15" t="s">
        <v>964</v>
      </c>
      <c r="AJ83" s="16">
        <v>215.28264646269665</v>
      </c>
      <c r="AK83" s="16">
        <v>40.66475243702345</v>
      </c>
      <c r="AL83" s="17">
        <f>(13927/B83)*100</f>
        <v>67.20876363285397</v>
      </c>
      <c r="AM83" s="43">
        <v>0.178554193610655</v>
      </c>
      <c r="AN83" s="43">
        <v>0.207508927709681</v>
      </c>
    </row>
    <row r="84" spans="1:40" ht="12">
      <c r="A84" s="7" t="s">
        <v>691</v>
      </c>
      <c r="B84" s="8" t="s">
        <v>312</v>
      </c>
      <c r="C84" s="8" t="s">
        <v>616</v>
      </c>
      <c r="D84" s="9" t="s">
        <v>878</v>
      </c>
      <c r="E84" s="10">
        <f t="shared" si="2"/>
        <v>-1.0555555555555556</v>
      </c>
      <c r="F84" s="9">
        <v>454950</v>
      </c>
      <c r="G84" s="9">
        <v>399900</v>
      </c>
      <c r="H84" s="10">
        <f t="shared" si="3"/>
        <v>13.765941485371345</v>
      </c>
      <c r="I84" s="11">
        <v>11.06</v>
      </c>
      <c r="J84" s="9">
        <v>81395</v>
      </c>
      <c r="K84" s="9">
        <v>290</v>
      </c>
      <c r="L84" s="9">
        <v>208</v>
      </c>
      <c r="M84" s="12">
        <v>36.3</v>
      </c>
      <c r="N84" s="12">
        <v>10</v>
      </c>
      <c r="O84" s="12">
        <v>553</v>
      </c>
      <c r="P84" s="12">
        <v>20.8</v>
      </c>
      <c r="Q84" s="12" t="s">
        <v>1129</v>
      </c>
      <c r="R84" s="2">
        <v>9266</v>
      </c>
      <c r="S84" s="3" t="s">
        <v>177</v>
      </c>
      <c r="T84" s="3" t="s">
        <v>57</v>
      </c>
      <c r="U84" s="4" t="s">
        <v>1037</v>
      </c>
      <c r="V84" s="1" t="s">
        <v>1178</v>
      </c>
      <c r="W84" s="12">
        <v>93</v>
      </c>
      <c r="X84" s="2">
        <v>56147</v>
      </c>
      <c r="Y84" s="8">
        <v>16</v>
      </c>
      <c r="Z84" s="44">
        <v>0.7</v>
      </c>
      <c r="AA84" s="8">
        <v>100</v>
      </c>
      <c r="AB84" s="8">
        <v>2</v>
      </c>
      <c r="AC84" s="8">
        <v>4</v>
      </c>
      <c r="AD84" s="12">
        <v>10.26</v>
      </c>
      <c r="AE84" s="8">
        <v>0</v>
      </c>
      <c r="AF84" s="14">
        <v>0.2857142857142857</v>
      </c>
      <c r="AG84" s="8" t="s">
        <v>386</v>
      </c>
      <c r="AH84" s="15" t="s">
        <v>942</v>
      </c>
      <c r="AI84" s="15" t="s">
        <v>965</v>
      </c>
      <c r="AJ84" s="16">
        <v>207.88702881220817</v>
      </c>
      <c r="AK84" s="16">
        <v>32.71233344721558</v>
      </c>
      <c r="AL84" s="17">
        <f>(4876/B84)*100</f>
        <v>55.52898303154539</v>
      </c>
      <c r="AM84" s="43">
        <v>0.227764491515773</v>
      </c>
      <c r="AN84" s="43">
        <v>0.148046919485252</v>
      </c>
    </row>
    <row r="85" spans="1:40" ht="12">
      <c r="A85" s="7" t="s">
        <v>692</v>
      </c>
      <c r="B85" s="8" t="s">
        <v>313</v>
      </c>
      <c r="C85" s="8" t="s">
        <v>291</v>
      </c>
      <c r="D85" s="9" t="s">
        <v>873</v>
      </c>
      <c r="E85" s="10">
        <f t="shared" si="2"/>
        <v>8.389261744966444</v>
      </c>
      <c r="F85" s="9">
        <v>239900</v>
      </c>
      <c r="G85" s="9">
        <v>159000</v>
      </c>
      <c r="H85" s="10">
        <f t="shared" si="3"/>
        <v>50.880503144654085</v>
      </c>
      <c r="I85" s="11">
        <v>13.36</v>
      </c>
      <c r="J85" s="9">
        <v>50856</v>
      </c>
      <c r="K85" s="9">
        <v>392</v>
      </c>
      <c r="L85" s="9">
        <v>318</v>
      </c>
      <c r="M85" s="12">
        <v>36.6</v>
      </c>
      <c r="N85" s="12">
        <v>9.5</v>
      </c>
      <c r="O85" s="12">
        <v>1836</v>
      </c>
      <c r="P85" s="12">
        <v>38.73</v>
      </c>
      <c r="Q85" s="12" t="s">
        <v>1129</v>
      </c>
      <c r="R85" s="9">
        <v>8057</v>
      </c>
      <c r="S85" s="3" t="s">
        <v>178</v>
      </c>
      <c r="T85" s="3" t="s">
        <v>51</v>
      </c>
      <c r="U85" s="4" t="s">
        <v>618</v>
      </c>
      <c r="V85" s="8" t="s">
        <v>1179</v>
      </c>
      <c r="W85" s="12">
        <v>77</v>
      </c>
      <c r="X85" s="9">
        <v>51731</v>
      </c>
      <c r="Y85" s="8">
        <v>13</v>
      </c>
      <c r="Z85" s="44">
        <v>4</v>
      </c>
      <c r="AA85" s="8">
        <v>82</v>
      </c>
      <c r="AB85" s="8">
        <v>7</v>
      </c>
      <c r="AC85" s="8">
        <v>46</v>
      </c>
      <c r="AD85" s="12">
        <v>1.08</v>
      </c>
      <c r="AE85" s="8">
        <v>0</v>
      </c>
      <c r="AF85" s="14">
        <v>0.547945205479452</v>
      </c>
      <c r="AG85" s="8" t="s">
        <v>386</v>
      </c>
      <c r="AH85" s="15" t="s">
        <v>1136</v>
      </c>
      <c r="AI85" s="15" t="s">
        <v>966</v>
      </c>
      <c r="AJ85" s="16">
        <v>206.6096524955143</v>
      </c>
      <c r="AK85" s="16">
        <v>52.6139367973928</v>
      </c>
      <c r="AL85" s="17">
        <f>(15504/B85)*100</f>
        <v>56.772492584862135</v>
      </c>
      <c r="AM85" s="43">
        <v>0.186751620344941</v>
      </c>
      <c r="AN85" s="43">
        <v>0.212384195686404</v>
      </c>
    </row>
    <row r="86" spans="1:40" ht="12">
      <c r="A86" s="7" t="s">
        <v>693</v>
      </c>
      <c r="B86" s="8" t="s">
        <v>314</v>
      </c>
      <c r="C86" s="8" t="s">
        <v>292</v>
      </c>
      <c r="D86" s="9" t="s">
        <v>931</v>
      </c>
      <c r="E86" s="10">
        <f t="shared" si="2"/>
        <v>0.416128569378677</v>
      </c>
      <c r="F86" s="9">
        <v>244000</v>
      </c>
      <c r="G86" s="9">
        <v>225000</v>
      </c>
      <c r="H86" s="10">
        <f t="shared" si="3"/>
        <v>8.444444444444445</v>
      </c>
      <c r="I86" s="11">
        <v>15.5</v>
      </c>
      <c r="J86" s="9">
        <v>62806</v>
      </c>
      <c r="K86" s="9">
        <v>340</v>
      </c>
      <c r="L86" s="9">
        <v>343</v>
      </c>
      <c r="M86" s="12">
        <v>37.2</v>
      </c>
      <c r="N86" s="12">
        <v>3.8</v>
      </c>
      <c r="O86" s="12">
        <v>648</v>
      </c>
      <c r="P86" s="12">
        <v>29.88</v>
      </c>
      <c r="Q86" s="12" t="s">
        <v>1129</v>
      </c>
      <c r="R86" s="9">
        <v>6803</v>
      </c>
      <c r="S86" s="3" t="s">
        <v>179</v>
      </c>
      <c r="T86" s="3" t="s">
        <v>52</v>
      </c>
      <c r="U86" s="4" t="s">
        <v>905</v>
      </c>
      <c r="V86" s="1" t="s">
        <v>798</v>
      </c>
      <c r="W86" s="12">
        <v>90</v>
      </c>
      <c r="X86" s="9">
        <v>52080</v>
      </c>
      <c r="Y86" s="8">
        <v>17</v>
      </c>
      <c r="Z86" s="44">
        <v>0.7</v>
      </c>
      <c r="AA86" s="8">
        <v>100</v>
      </c>
      <c r="AB86" s="8">
        <v>5</v>
      </c>
      <c r="AC86" s="8">
        <v>23</v>
      </c>
      <c r="AD86" s="12">
        <v>30.15</v>
      </c>
      <c r="AE86" s="8">
        <v>1</v>
      </c>
      <c r="AF86" s="14">
        <v>0.49180327868852464</v>
      </c>
      <c r="AG86" s="8" t="s">
        <v>385</v>
      </c>
      <c r="AH86" s="15" t="s">
        <v>1129</v>
      </c>
      <c r="AI86" s="15" t="s">
        <v>1129</v>
      </c>
      <c r="AJ86" s="16">
        <v>159.3407361197754</v>
      </c>
      <c r="AK86" s="16">
        <v>31.818839675608235</v>
      </c>
      <c r="AL86" s="17">
        <f>(5216/B86)*100</f>
        <v>65.07797878976919</v>
      </c>
      <c r="AM86" s="43">
        <v>0.224578914535246</v>
      </c>
      <c r="AN86" s="43">
        <v>0.0873362445414847</v>
      </c>
    </row>
    <row r="87" spans="1:40" ht="12">
      <c r="A87" s="7" t="s">
        <v>694</v>
      </c>
      <c r="B87" s="8" t="s">
        <v>315</v>
      </c>
      <c r="C87" s="8" t="s">
        <v>293</v>
      </c>
      <c r="D87" s="9" t="s">
        <v>932</v>
      </c>
      <c r="E87" s="10">
        <f t="shared" si="2"/>
        <v>4.7180667433832</v>
      </c>
      <c r="F87" s="9">
        <v>511000</v>
      </c>
      <c r="G87" s="9">
        <v>382000</v>
      </c>
      <c r="H87" s="10">
        <f t="shared" si="3"/>
        <v>33.7696335078534</v>
      </c>
      <c r="I87" s="11">
        <v>11.73</v>
      </c>
      <c r="J87" s="9">
        <v>78985</v>
      </c>
      <c r="K87" s="9">
        <v>415.2</v>
      </c>
      <c r="L87" s="9">
        <v>803.28</v>
      </c>
      <c r="M87" s="12">
        <v>39.3</v>
      </c>
      <c r="N87" s="12">
        <v>15.6</v>
      </c>
      <c r="O87" s="12">
        <v>2005</v>
      </c>
      <c r="P87" s="12">
        <v>9.22</v>
      </c>
      <c r="Q87" s="12" t="s">
        <v>1129</v>
      </c>
      <c r="R87" s="9">
        <v>7850</v>
      </c>
      <c r="S87" s="3" t="s">
        <v>180</v>
      </c>
      <c r="T87" s="3" t="s">
        <v>351</v>
      </c>
      <c r="U87" s="4" t="s">
        <v>617</v>
      </c>
      <c r="V87" s="1" t="s">
        <v>1180</v>
      </c>
      <c r="W87" s="12">
        <v>92</v>
      </c>
      <c r="X87" s="9">
        <v>53310</v>
      </c>
      <c r="Y87" s="8">
        <v>15</v>
      </c>
      <c r="Z87" s="44">
        <v>0</v>
      </c>
      <c r="AA87" s="8">
        <v>99</v>
      </c>
      <c r="AB87" s="8">
        <v>5</v>
      </c>
      <c r="AC87" s="8">
        <v>47</v>
      </c>
      <c r="AD87" s="12">
        <v>32.06</v>
      </c>
      <c r="AE87" s="8">
        <v>0</v>
      </c>
      <c r="AF87" s="14">
        <v>0.15384615384615385</v>
      </c>
      <c r="AG87" s="8" t="s">
        <v>385</v>
      </c>
      <c r="AH87" s="15" t="s">
        <v>564</v>
      </c>
      <c r="AI87" s="15" t="s">
        <v>459</v>
      </c>
      <c r="AJ87" s="16">
        <v>315.7840830449827</v>
      </c>
      <c r="AK87" s="16">
        <v>42.92329873125721</v>
      </c>
      <c r="AL87" s="17">
        <f>(18264/B87)*100</f>
        <v>70.21914648212227</v>
      </c>
      <c r="AM87" s="43">
        <v>0.284505959246444</v>
      </c>
      <c r="AN87" s="43">
        <v>0.226835832372165</v>
      </c>
    </row>
    <row r="88" spans="1:40" ht="12">
      <c r="A88" s="7" t="s">
        <v>76</v>
      </c>
      <c r="B88" s="8" t="s">
        <v>316</v>
      </c>
      <c r="C88" s="8" t="s">
        <v>818</v>
      </c>
      <c r="D88" s="9" t="s">
        <v>223</v>
      </c>
      <c r="E88" s="10">
        <f t="shared" si="2"/>
        <v>4.705882352941177</v>
      </c>
      <c r="F88" s="9">
        <v>240000</v>
      </c>
      <c r="G88" s="9">
        <v>175000</v>
      </c>
      <c r="H88" s="10">
        <f t="shared" si="3"/>
        <v>37.142857142857146</v>
      </c>
      <c r="I88" s="11">
        <v>9.12</v>
      </c>
      <c r="J88" s="9">
        <v>64052</v>
      </c>
      <c r="K88" s="9">
        <v>697.2</v>
      </c>
      <c r="L88" s="9">
        <v>813.6</v>
      </c>
      <c r="M88" s="12">
        <v>44.6</v>
      </c>
      <c r="N88" s="12">
        <v>3.5</v>
      </c>
      <c r="O88" s="12">
        <v>3027</v>
      </c>
      <c r="P88" s="12">
        <v>13.19</v>
      </c>
      <c r="Q88" s="12" t="s">
        <v>1129</v>
      </c>
      <c r="R88" s="2">
        <v>8430</v>
      </c>
      <c r="S88" s="3" t="s">
        <v>181</v>
      </c>
      <c r="T88" s="3" t="s">
        <v>352</v>
      </c>
      <c r="U88" s="4" t="s">
        <v>904</v>
      </c>
      <c r="V88" s="8" t="s">
        <v>716</v>
      </c>
      <c r="W88" s="12">
        <v>90</v>
      </c>
      <c r="X88" s="2">
        <v>53918</v>
      </c>
      <c r="Y88" s="8">
        <v>14</v>
      </c>
      <c r="Z88" s="44">
        <v>0.6</v>
      </c>
      <c r="AA88" s="8">
        <v>100</v>
      </c>
      <c r="AB88" s="8">
        <v>4</v>
      </c>
      <c r="AC88" s="8">
        <v>4</v>
      </c>
      <c r="AD88" s="12">
        <v>10.79</v>
      </c>
      <c r="AE88" s="8">
        <v>0</v>
      </c>
      <c r="AF88" s="14">
        <v>0.8333333333333334</v>
      </c>
      <c r="AG88" s="8" t="s">
        <v>386</v>
      </c>
      <c r="AH88" s="15" t="s">
        <v>565</v>
      </c>
      <c r="AI88" s="15" t="s">
        <v>460</v>
      </c>
      <c r="AJ88" s="16">
        <v>343.94777350192413</v>
      </c>
      <c r="AK88" s="16">
        <v>40.82737768004398</v>
      </c>
      <c r="AL88" s="17">
        <f>(2563/B88)*100</f>
        <v>70.45079714128643</v>
      </c>
      <c r="AM88" s="43">
        <v>0.302363936228697</v>
      </c>
      <c r="AN88" s="43">
        <v>0.384826827927433</v>
      </c>
    </row>
    <row r="89" spans="1:40" ht="12">
      <c r="A89" s="7" t="s">
        <v>77</v>
      </c>
      <c r="B89" s="8" t="s">
        <v>317</v>
      </c>
      <c r="C89" s="8" t="s">
        <v>579</v>
      </c>
      <c r="D89" s="9" t="s">
        <v>977</v>
      </c>
      <c r="E89" s="10">
        <f t="shared" si="2"/>
        <v>6.602564102564103</v>
      </c>
      <c r="F89" s="9">
        <v>209000</v>
      </c>
      <c r="G89" s="9">
        <v>209900</v>
      </c>
      <c r="H89" s="10">
        <f t="shared" si="3"/>
        <v>-0.4287756074321105</v>
      </c>
      <c r="I89" s="11">
        <v>12.32</v>
      </c>
      <c r="J89" s="9">
        <v>69755</v>
      </c>
      <c r="K89" s="9">
        <v>246</v>
      </c>
      <c r="L89" s="9">
        <v>802.6</v>
      </c>
      <c r="M89" s="12">
        <v>38.2</v>
      </c>
      <c r="N89" s="12">
        <v>9.2</v>
      </c>
      <c r="O89" s="12">
        <v>2131</v>
      </c>
      <c r="P89" s="12">
        <v>22.28</v>
      </c>
      <c r="Q89" s="12">
        <v>40</v>
      </c>
      <c r="R89" s="9">
        <v>9319</v>
      </c>
      <c r="S89" s="3" t="s">
        <v>182</v>
      </c>
      <c r="T89" s="3" t="s">
        <v>353</v>
      </c>
      <c r="U89" s="4" t="s">
        <v>929</v>
      </c>
      <c r="V89" s="1" t="s">
        <v>1087</v>
      </c>
      <c r="W89" s="12">
        <v>83</v>
      </c>
      <c r="X89" s="9">
        <v>50723</v>
      </c>
      <c r="Y89" s="8">
        <v>14</v>
      </c>
      <c r="Z89" s="44">
        <v>0.7</v>
      </c>
      <c r="AA89" s="8">
        <v>100</v>
      </c>
      <c r="AB89" s="8">
        <v>5</v>
      </c>
      <c r="AC89" s="8">
        <v>60</v>
      </c>
      <c r="AD89" s="12">
        <v>12.99</v>
      </c>
      <c r="AE89" s="8">
        <v>2</v>
      </c>
      <c r="AF89" s="14">
        <v>0.6622516556291391</v>
      </c>
      <c r="AG89" s="8" t="s">
        <v>386</v>
      </c>
      <c r="AH89" s="15" t="s">
        <v>566</v>
      </c>
      <c r="AI89" s="15" t="s">
        <v>461</v>
      </c>
      <c r="AJ89" s="16">
        <v>290.77099802371544</v>
      </c>
      <c r="AK89" s="16">
        <v>57.21708250988142</v>
      </c>
      <c r="AL89" s="17">
        <f>(20669/B89)*100</f>
        <v>63.82472826086957</v>
      </c>
      <c r="AM89" s="43">
        <v>0.206892292490119</v>
      </c>
      <c r="AN89" s="43">
        <v>0.302618577075099</v>
      </c>
    </row>
    <row r="90" spans="1:40" ht="12">
      <c r="A90" s="7" t="s">
        <v>695</v>
      </c>
      <c r="B90" s="8" t="s">
        <v>348</v>
      </c>
      <c r="C90" s="8" t="s">
        <v>580</v>
      </c>
      <c r="D90" s="9" t="s">
        <v>768</v>
      </c>
      <c r="E90" s="10">
        <f t="shared" si="2"/>
        <v>10.727272727272727</v>
      </c>
      <c r="F90" s="9">
        <v>379000</v>
      </c>
      <c r="G90" s="9">
        <v>367000</v>
      </c>
      <c r="H90" s="10">
        <f t="shared" si="3"/>
        <v>3.2697547683923704</v>
      </c>
      <c r="I90" s="11">
        <v>9.21</v>
      </c>
      <c r="J90" s="9">
        <v>88079</v>
      </c>
      <c r="K90" s="9">
        <v>294</v>
      </c>
      <c r="L90" s="9">
        <v>774</v>
      </c>
      <c r="M90" s="12">
        <v>40.8</v>
      </c>
      <c r="N90" s="12">
        <v>6.1</v>
      </c>
      <c r="O90" s="12">
        <v>2295</v>
      </c>
      <c r="P90" s="12">
        <v>16.9</v>
      </c>
      <c r="Q90" s="12">
        <v>36</v>
      </c>
      <c r="R90" s="9">
        <v>8721</v>
      </c>
      <c r="S90" s="3" t="s">
        <v>183</v>
      </c>
      <c r="T90" s="3" t="s">
        <v>27</v>
      </c>
      <c r="U90" s="4" t="s">
        <v>912</v>
      </c>
      <c r="V90" s="1" t="s">
        <v>1088</v>
      </c>
      <c r="W90" s="12">
        <v>94</v>
      </c>
      <c r="X90" s="9">
        <v>55093</v>
      </c>
      <c r="Y90" s="8">
        <v>13</v>
      </c>
      <c r="Z90" s="44">
        <v>0</v>
      </c>
      <c r="AA90" s="8">
        <v>100</v>
      </c>
      <c r="AB90" s="8">
        <v>5</v>
      </c>
      <c r="AC90" s="8">
        <v>46</v>
      </c>
      <c r="AD90" s="12">
        <v>26.65</v>
      </c>
      <c r="AE90" s="8">
        <v>2</v>
      </c>
      <c r="AF90" s="14">
        <v>0.873015873015873</v>
      </c>
      <c r="AG90" s="8" t="s">
        <v>385</v>
      </c>
      <c r="AH90" s="15" t="s">
        <v>957</v>
      </c>
      <c r="AI90" s="15" t="s">
        <v>462</v>
      </c>
      <c r="AJ90" s="16">
        <v>295.7739493783608</v>
      </c>
      <c r="AK90" s="16">
        <v>73.08490598349145</v>
      </c>
      <c r="AL90" s="17">
        <f>(20293/B90)*100</f>
        <v>69.50371613521938</v>
      </c>
      <c r="AM90" s="43">
        <v>0.239750659314313</v>
      </c>
      <c r="AN90" s="43">
        <v>0.263725725245744</v>
      </c>
    </row>
    <row r="91" spans="1:40" ht="12">
      <c r="A91" s="7" t="s">
        <v>696</v>
      </c>
      <c r="B91" s="8" t="s">
        <v>349</v>
      </c>
      <c r="C91" s="8" t="s">
        <v>551</v>
      </c>
      <c r="D91" s="9" t="s">
        <v>475</v>
      </c>
      <c r="E91" s="10">
        <f t="shared" si="2"/>
        <v>7.5</v>
      </c>
      <c r="F91" s="9">
        <v>555238</v>
      </c>
      <c r="G91" s="9">
        <v>325000</v>
      </c>
      <c r="H91" s="10">
        <f t="shared" si="3"/>
        <v>70.84246153846155</v>
      </c>
      <c r="I91" s="11">
        <v>10.2</v>
      </c>
      <c r="J91" s="9">
        <v>74836</v>
      </c>
      <c r="K91" s="9">
        <v>312</v>
      </c>
      <c r="L91" s="9" t="s">
        <v>1129</v>
      </c>
      <c r="M91" s="12">
        <v>39.5</v>
      </c>
      <c r="N91" s="12">
        <v>2.4</v>
      </c>
      <c r="O91" s="12">
        <v>278</v>
      </c>
      <c r="P91" s="12">
        <v>37.75</v>
      </c>
      <c r="Q91" s="12" t="s">
        <v>1129</v>
      </c>
      <c r="R91" s="9">
        <v>6863</v>
      </c>
      <c r="S91" s="3" t="s">
        <v>184</v>
      </c>
      <c r="T91" s="3" t="s">
        <v>28</v>
      </c>
      <c r="U91" s="4" t="s">
        <v>914</v>
      </c>
      <c r="V91" s="8" t="s">
        <v>1089</v>
      </c>
      <c r="W91" s="12">
        <v>76</v>
      </c>
      <c r="X91" s="9">
        <v>52232</v>
      </c>
      <c r="Y91" s="8">
        <v>17</v>
      </c>
      <c r="Z91" s="44">
        <v>2.5</v>
      </c>
      <c r="AA91" s="8">
        <v>100</v>
      </c>
      <c r="AB91" s="8">
        <v>3</v>
      </c>
      <c r="AC91" s="8">
        <v>4</v>
      </c>
      <c r="AD91" s="12">
        <v>44.66</v>
      </c>
      <c r="AE91" s="8">
        <v>1</v>
      </c>
      <c r="AF91" s="14">
        <v>0.2066115702479339</v>
      </c>
      <c r="AG91" s="8" t="s">
        <v>386</v>
      </c>
      <c r="AH91" s="15" t="s">
        <v>566</v>
      </c>
      <c r="AI91" s="15" t="s">
        <v>253</v>
      </c>
      <c r="AJ91" s="16">
        <v>195.27057793345008</v>
      </c>
      <c r="AK91" s="16">
        <v>78.71117921774665</v>
      </c>
      <c r="AL91" s="17">
        <f>(4954/B91)*100</f>
        <v>72.30005837711617</v>
      </c>
      <c r="AM91" s="43">
        <v>0.0729713952130765</v>
      </c>
      <c r="AN91" s="43">
        <v>0.233508464681845</v>
      </c>
    </row>
    <row r="92" spans="1:40" ht="12">
      <c r="A92" s="7" t="s">
        <v>726</v>
      </c>
      <c r="B92" s="8" t="s">
        <v>350</v>
      </c>
      <c r="C92" s="8" t="s">
        <v>551</v>
      </c>
      <c r="D92" s="9" t="s">
        <v>933</v>
      </c>
      <c r="E92" s="10">
        <f t="shared" si="2"/>
        <v>13.922373824347595</v>
      </c>
      <c r="F92" s="9">
        <v>324200</v>
      </c>
      <c r="G92" s="9">
        <v>279900</v>
      </c>
      <c r="H92" s="10">
        <f t="shared" si="3"/>
        <v>15.827081100392999</v>
      </c>
      <c r="I92" s="11">
        <v>13.65</v>
      </c>
      <c r="J92" s="9">
        <v>58557</v>
      </c>
      <c r="K92" s="9">
        <v>364</v>
      </c>
      <c r="L92" s="9">
        <v>500</v>
      </c>
      <c r="M92" s="12">
        <v>40.9</v>
      </c>
      <c r="N92" s="12">
        <v>2.5</v>
      </c>
      <c r="O92" s="12">
        <v>2046</v>
      </c>
      <c r="P92" s="12">
        <v>38.55</v>
      </c>
      <c r="Q92" s="12">
        <v>65</v>
      </c>
      <c r="R92" s="9">
        <v>9276</v>
      </c>
      <c r="S92" s="3" t="s">
        <v>185</v>
      </c>
      <c r="T92" s="3" t="s">
        <v>29</v>
      </c>
      <c r="U92" s="4" t="s">
        <v>928</v>
      </c>
      <c r="V92" s="8" t="s">
        <v>1090</v>
      </c>
      <c r="W92" s="12">
        <v>87</v>
      </c>
      <c r="X92" s="9">
        <v>43070</v>
      </c>
      <c r="Y92" s="8">
        <v>13</v>
      </c>
      <c r="Z92" s="44">
        <v>2.6</v>
      </c>
      <c r="AA92" s="8">
        <v>99</v>
      </c>
      <c r="AB92" s="8">
        <v>5</v>
      </c>
      <c r="AC92" s="8">
        <v>17</v>
      </c>
      <c r="AD92" s="12">
        <v>19.84</v>
      </c>
      <c r="AE92" s="8">
        <v>0</v>
      </c>
      <c r="AF92" s="14">
        <v>1.7857142857142856</v>
      </c>
      <c r="AG92" s="8" t="s">
        <v>386</v>
      </c>
      <c r="AH92" s="15" t="s">
        <v>595</v>
      </c>
      <c r="AI92" s="15" t="s">
        <v>463</v>
      </c>
      <c r="AJ92" s="16">
        <v>290.7514853747715</v>
      </c>
      <c r="AK92" s="16">
        <v>54.82255484460695</v>
      </c>
      <c r="AL92" s="17">
        <f>(12319/B92)*100</f>
        <v>70.37819926873857</v>
      </c>
      <c r="AM92" s="43">
        <v>0.262797074954296</v>
      </c>
      <c r="AN92" s="43">
        <v>0.279936014625229</v>
      </c>
    </row>
    <row r="93" spans="1:40" ht="12">
      <c r="A93" s="7" t="s">
        <v>727</v>
      </c>
      <c r="B93" s="8" t="s">
        <v>698</v>
      </c>
      <c r="C93" s="8" t="s">
        <v>552</v>
      </c>
      <c r="D93" s="9" t="s">
        <v>934</v>
      </c>
      <c r="E93" s="10">
        <f t="shared" si="2"/>
        <v>8.412387299098393</v>
      </c>
      <c r="F93" s="9">
        <v>426000</v>
      </c>
      <c r="G93" s="9">
        <v>430000</v>
      </c>
      <c r="H93" s="10">
        <f t="shared" si="3"/>
        <v>-0.9302325581395349</v>
      </c>
      <c r="I93" s="11">
        <v>10.92</v>
      </c>
      <c r="J93" s="9">
        <v>86052</v>
      </c>
      <c r="K93" s="9">
        <v>382.8</v>
      </c>
      <c r="L93" s="9">
        <v>594</v>
      </c>
      <c r="M93" s="12">
        <v>38.7</v>
      </c>
      <c r="N93" s="12">
        <v>13.6</v>
      </c>
      <c r="O93" s="12">
        <v>4631</v>
      </c>
      <c r="P93" s="12">
        <v>9.56</v>
      </c>
      <c r="Q93" s="12">
        <v>22</v>
      </c>
      <c r="R93" s="9">
        <v>11140</v>
      </c>
      <c r="S93" s="3" t="s">
        <v>186</v>
      </c>
      <c r="T93" s="3" t="s">
        <v>30</v>
      </c>
      <c r="U93" s="4" t="s">
        <v>1030</v>
      </c>
      <c r="V93" s="1" t="s">
        <v>1091</v>
      </c>
      <c r="W93" s="12">
        <v>86</v>
      </c>
      <c r="X93" s="9">
        <v>60579</v>
      </c>
      <c r="Y93" s="8">
        <v>12</v>
      </c>
      <c r="Z93" s="44">
        <v>1</v>
      </c>
      <c r="AA93" s="8">
        <v>71</v>
      </c>
      <c r="AB93" s="8">
        <v>5</v>
      </c>
      <c r="AC93" s="8">
        <v>122</v>
      </c>
      <c r="AD93" s="12">
        <v>10.99</v>
      </c>
      <c r="AE93" s="8">
        <v>0</v>
      </c>
      <c r="AF93" s="14">
        <v>1.3259668508287292</v>
      </c>
      <c r="AG93" s="8" t="s">
        <v>386</v>
      </c>
      <c r="AH93" s="15" t="s">
        <v>567</v>
      </c>
      <c r="AI93" s="15" t="s">
        <v>464</v>
      </c>
      <c r="AJ93" s="16">
        <v>299.59002145922744</v>
      </c>
      <c r="AK93" s="16">
        <v>89.59307343824511</v>
      </c>
      <c r="AL93" s="17">
        <f>(55393/B93)*100</f>
        <v>66.03838817358131</v>
      </c>
      <c r="AM93" s="43">
        <v>0.214592274678112</v>
      </c>
      <c r="AN93" s="43">
        <v>0.209823557463042</v>
      </c>
    </row>
    <row r="94" spans="1:40" ht="12">
      <c r="A94" s="7" t="s">
        <v>318</v>
      </c>
      <c r="B94" s="8" t="s">
        <v>699</v>
      </c>
      <c r="C94" s="8" t="s">
        <v>553</v>
      </c>
      <c r="D94" s="9" t="s">
        <v>446</v>
      </c>
      <c r="E94" s="10">
        <f t="shared" si="2"/>
        <v>15.47911547911548</v>
      </c>
      <c r="F94" s="9">
        <v>480754</v>
      </c>
      <c r="G94" s="9" t="s">
        <v>1129</v>
      </c>
      <c r="H94" s="10" t="s">
        <v>1129</v>
      </c>
      <c r="I94" s="11">
        <v>13.01</v>
      </c>
      <c r="J94" s="9">
        <v>86153</v>
      </c>
      <c r="K94" s="9">
        <v>594</v>
      </c>
      <c r="L94" s="9" t="s">
        <v>1129</v>
      </c>
      <c r="M94" s="12">
        <v>37.4</v>
      </c>
      <c r="N94" s="12">
        <v>12.1</v>
      </c>
      <c r="O94" s="12">
        <v>707</v>
      </c>
      <c r="P94" s="12">
        <v>32.3</v>
      </c>
      <c r="Q94" s="12">
        <v>51</v>
      </c>
      <c r="R94" s="2">
        <v>7457</v>
      </c>
      <c r="S94" s="3" t="s">
        <v>142</v>
      </c>
      <c r="T94" s="3" t="s">
        <v>31</v>
      </c>
      <c r="U94" s="4" t="s">
        <v>1038</v>
      </c>
      <c r="V94" s="1" t="s">
        <v>1092</v>
      </c>
      <c r="W94" s="12">
        <v>73</v>
      </c>
      <c r="X94" s="2">
        <v>51722</v>
      </c>
      <c r="Y94" s="8">
        <v>16</v>
      </c>
      <c r="Z94" s="44">
        <v>2</v>
      </c>
      <c r="AA94" s="8">
        <v>100</v>
      </c>
      <c r="AB94" s="8">
        <v>5</v>
      </c>
      <c r="AC94" s="8">
        <v>14</v>
      </c>
      <c r="AD94" s="12">
        <v>7.63</v>
      </c>
      <c r="AE94" s="8">
        <v>0</v>
      </c>
      <c r="AF94" s="14">
        <v>0.2027027027027027</v>
      </c>
      <c r="AG94" s="8" t="s">
        <v>385</v>
      </c>
      <c r="AH94" s="15" t="s">
        <v>595</v>
      </c>
      <c r="AI94" s="15" t="s">
        <v>1141</v>
      </c>
      <c r="AJ94" s="16">
        <v>177.87085714285715</v>
      </c>
      <c r="AK94" s="16">
        <v>37.49295238095238</v>
      </c>
      <c r="AL94" s="17">
        <f>(5956/B94)*100</f>
        <v>56.72380952380952</v>
      </c>
      <c r="AM94" s="43">
        <v>0.104761904761905</v>
      </c>
      <c r="AN94" s="43">
        <v>0.0571428571428571</v>
      </c>
    </row>
    <row r="95" spans="1:40" ht="12">
      <c r="A95" s="7" t="s">
        <v>319</v>
      </c>
      <c r="B95" s="8" t="s">
        <v>700</v>
      </c>
      <c r="C95" s="8" t="s">
        <v>554</v>
      </c>
      <c r="D95" s="9" t="s">
        <v>818</v>
      </c>
      <c r="E95" s="10">
        <f t="shared" si="2"/>
        <v>12.359550561797752</v>
      </c>
      <c r="F95" s="9">
        <v>222500</v>
      </c>
      <c r="G95" s="9">
        <v>188075</v>
      </c>
      <c r="H95" s="10">
        <f t="shared" si="3"/>
        <v>18.303868137711017</v>
      </c>
      <c r="I95" s="11">
        <v>13.12</v>
      </c>
      <c r="J95" s="9">
        <v>72728</v>
      </c>
      <c r="K95" s="9">
        <v>401</v>
      </c>
      <c r="L95" s="9">
        <v>445</v>
      </c>
      <c r="M95" s="12">
        <v>37.2</v>
      </c>
      <c r="N95" s="12">
        <v>7.5</v>
      </c>
      <c r="O95" s="12">
        <v>1019</v>
      </c>
      <c r="P95" s="12">
        <v>27.87</v>
      </c>
      <c r="Q95" s="12" t="s">
        <v>1129</v>
      </c>
      <c r="R95" s="9">
        <v>7584</v>
      </c>
      <c r="S95" s="3" t="s">
        <v>195</v>
      </c>
      <c r="T95" s="3" t="s">
        <v>32</v>
      </c>
      <c r="U95" s="4" t="s">
        <v>927</v>
      </c>
      <c r="V95" s="1" t="s">
        <v>1093</v>
      </c>
      <c r="W95" s="12">
        <v>89</v>
      </c>
      <c r="X95" s="9">
        <v>50076</v>
      </c>
      <c r="Y95" s="8">
        <v>15</v>
      </c>
      <c r="Z95" s="44">
        <v>1.4</v>
      </c>
      <c r="AA95" s="8">
        <v>100</v>
      </c>
      <c r="AB95" s="8">
        <v>6</v>
      </c>
      <c r="AC95" s="8">
        <v>36</v>
      </c>
      <c r="AD95" s="12">
        <v>25.9</v>
      </c>
      <c r="AE95" s="8">
        <v>1</v>
      </c>
      <c r="AF95" s="14">
        <v>0.2247191011235955</v>
      </c>
      <c r="AG95" s="8" t="s">
        <v>386</v>
      </c>
      <c r="AH95" s="15" t="s">
        <v>564</v>
      </c>
      <c r="AI95" s="15" t="s">
        <v>465</v>
      </c>
      <c r="AJ95" s="16">
        <v>242.83863203649818</v>
      </c>
      <c r="AK95" s="16">
        <v>26.49793440385099</v>
      </c>
      <c r="AL95" s="17">
        <f>(17284/B95)*100</f>
        <v>62.090024068685565</v>
      </c>
      <c r="AM95" s="43">
        <v>0.222725149980242</v>
      </c>
      <c r="AN95" s="43">
        <v>0.255056220138664</v>
      </c>
    </row>
    <row r="96" spans="1:40" ht="12">
      <c r="A96" s="7" t="s">
        <v>320</v>
      </c>
      <c r="B96" s="17">
        <v>27826</v>
      </c>
      <c r="C96" s="8" t="s">
        <v>555</v>
      </c>
      <c r="D96" s="9" t="s">
        <v>971</v>
      </c>
      <c r="E96" s="10">
        <f t="shared" si="2"/>
        <v>10.167033890112966</v>
      </c>
      <c r="F96" s="9">
        <v>197000</v>
      </c>
      <c r="G96" s="9">
        <v>171000</v>
      </c>
      <c r="H96" s="10">
        <f t="shared" si="3"/>
        <v>15.204678362573098</v>
      </c>
      <c r="I96" s="11">
        <v>12.23</v>
      </c>
      <c r="J96" s="9">
        <v>59371</v>
      </c>
      <c r="K96" s="9" t="s">
        <v>1129</v>
      </c>
      <c r="L96" s="9" t="s">
        <v>1129</v>
      </c>
      <c r="M96" s="12">
        <v>35.6</v>
      </c>
      <c r="N96" s="12">
        <v>4.8</v>
      </c>
      <c r="O96" s="12">
        <v>1459</v>
      </c>
      <c r="P96" s="12">
        <v>38.8</v>
      </c>
      <c r="Q96" s="12" t="s">
        <v>1129</v>
      </c>
      <c r="R96" s="9">
        <v>6816</v>
      </c>
      <c r="S96" s="3" t="s">
        <v>196</v>
      </c>
      <c r="T96" s="3" t="s">
        <v>33</v>
      </c>
      <c r="U96" s="4" t="s">
        <v>926</v>
      </c>
      <c r="V96" s="1" t="s">
        <v>1094</v>
      </c>
      <c r="W96" s="12">
        <v>78</v>
      </c>
      <c r="X96" s="9">
        <v>52927</v>
      </c>
      <c r="Y96" s="8">
        <v>15</v>
      </c>
      <c r="Z96" s="44">
        <v>2.7</v>
      </c>
      <c r="AA96" s="8">
        <v>100</v>
      </c>
      <c r="AB96" s="8">
        <v>4</v>
      </c>
      <c r="AC96" s="8">
        <v>40</v>
      </c>
      <c r="AD96" s="12">
        <v>10.25</v>
      </c>
      <c r="AE96" s="8">
        <v>1</v>
      </c>
      <c r="AF96" s="14">
        <v>0.6989247311827956</v>
      </c>
      <c r="AG96" s="8" t="s">
        <v>385</v>
      </c>
      <c r="AH96" s="15" t="s">
        <v>605</v>
      </c>
      <c r="AI96" s="15" t="s">
        <v>466</v>
      </c>
      <c r="AJ96" s="16">
        <v>220.83350104219076</v>
      </c>
      <c r="AK96" s="16">
        <v>37.01437504492201</v>
      </c>
      <c r="AL96" s="17">
        <f>(19009/B96)*100</f>
        <v>68.3138072306476</v>
      </c>
      <c r="AM96" s="43">
        <v>0.147344210450658</v>
      </c>
      <c r="AN96" s="43">
        <v>0.158125494142169</v>
      </c>
    </row>
    <row r="97" spans="1:40" ht="12">
      <c r="A97" s="7" t="s">
        <v>321</v>
      </c>
      <c r="B97" s="17">
        <v>13999</v>
      </c>
      <c r="C97" s="8" t="s">
        <v>556</v>
      </c>
      <c r="D97" s="9" t="s">
        <v>861</v>
      </c>
      <c r="E97" s="10">
        <f t="shared" si="2"/>
        <v>9.539473684210527</v>
      </c>
      <c r="F97" s="9">
        <v>173750</v>
      </c>
      <c r="G97" s="9">
        <v>169250</v>
      </c>
      <c r="H97" s="10">
        <f t="shared" si="3"/>
        <v>2.658788774002954</v>
      </c>
      <c r="I97" s="11">
        <v>12.09</v>
      </c>
      <c r="J97" s="9">
        <v>76962</v>
      </c>
      <c r="K97" s="9">
        <v>547</v>
      </c>
      <c r="L97" s="9" t="s">
        <v>1129</v>
      </c>
      <c r="M97" s="12">
        <v>37.8</v>
      </c>
      <c r="N97" s="12">
        <v>3</v>
      </c>
      <c r="O97" s="12">
        <v>1040</v>
      </c>
      <c r="P97" s="12">
        <v>18.61</v>
      </c>
      <c r="Q97" s="12" t="s">
        <v>1129</v>
      </c>
      <c r="R97" s="9">
        <v>6246</v>
      </c>
      <c r="S97" s="3" t="s">
        <v>197</v>
      </c>
      <c r="T97" s="3" t="s">
        <v>34</v>
      </c>
      <c r="U97" s="4" t="s">
        <v>1037</v>
      </c>
      <c r="V97" s="8" t="s">
        <v>1095</v>
      </c>
      <c r="W97" s="12">
        <v>92</v>
      </c>
      <c r="X97" s="9">
        <v>49658</v>
      </c>
      <c r="Y97" s="8">
        <v>16</v>
      </c>
      <c r="Z97" s="44">
        <v>2.9</v>
      </c>
      <c r="AA97" s="8">
        <v>80</v>
      </c>
      <c r="AB97" s="8">
        <v>7</v>
      </c>
      <c r="AC97" s="8">
        <v>18</v>
      </c>
      <c r="AD97" s="12">
        <v>5.34</v>
      </c>
      <c r="AE97" s="8">
        <v>1</v>
      </c>
      <c r="AF97" s="14">
        <v>0.45112781954887216</v>
      </c>
      <c r="AG97" s="8" t="s">
        <v>386</v>
      </c>
      <c r="AH97" s="15" t="s">
        <v>946</v>
      </c>
      <c r="AI97" s="15" t="s">
        <v>467</v>
      </c>
      <c r="AJ97" s="16">
        <v>325.3437388384885</v>
      </c>
      <c r="AK97" s="16">
        <v>37.54468176298307</v>
      </c>
      <c r="AL97" s="17">
        <f>(9785/B97)*100</f>
        <v>69.8978498464176</v>
      </c>
      <c r="AM97" s="43">
        <v>0.150010715051075</v>
      </c>
      <c r="AN97" s="43">
        <v>0.192870919351382</v>
      </c>
    </row>
    <row r="98" spans="1:40" ht="12">
      <c r="A98" s="7" t="s">
        <v>322</v>
      </c>
      <c r="B98" s="17">
        <v>14246</v>
      </c>
      <c r="C98" s="8" t="s">
        <v>593</v>
      </c>
      <c r="D98" s="9" t="s">
        <v>477</v>
      </c>
      <c r="E98" s="10">
        <f t="shared" si="2"/>
        <v>4.3478260869565215</v>
      </c>
      <c r="F98" s="9">
        <v>230000</v>
      </c>
      <c r="G98" s="9">
        <v>205000</v>
      </c>
      <c r="H98" s="10">
        <f t="shared" si="3"/>
        <v>12.195121951219512</v>
      </c>
      <c r="I98" s="11">
        <v>15.83</v>
      </c>
      <c r="J98" s="9">
        <v>79781</v>
      </c>
      <c r="K98" s="9">
        <v>257.6</v>
      </c>
      <c r="L98" s="9">
        <v>325</v>
      </c>
      <c r="M98" s="12">
        <v>37.4</v>
      </c>
      <c r="N98" s="12">
        <v>7.9</v>
      </c>
      <c r="O98" s="12">
        <v>758</v>
      </c>
      <c r="P98" s="12">
        <v>38.96</v>
      </c>
      <c r="Q98" s="12" t="s">
        <v>1129</v>
      </c>
      <c r="R98" s="2">
        <v>9175</v>
      </c>
      <c r="S98" s="3" t="s">
        <v>198</v>
      </c>
      <c r="T98" s="3" t="s">
        <v>35</v>
      </c>
      <c r="U98" s="4" t="s">
        <v>899</v>
      </c>
      <c r="V98" s="1" t="s">
        <v>1096</v>
      </c>
      <c r="W98" s="12">
        <v>94</v>
      </c>
      <c r="X98" s="2">
        <v>53967</v>
      </c>
      <c r="Y98" s="8">
        <v>16</v>
      </c>
      <c r="Z98" s="44">
        <v>0.8</v>
      </c>
      <c r="AA98" s="8">
        <v>100</v>
      </c>
      <c r="AB98" s="8">
        <v>4</v>
      </c>
      <c r="AC98" s="8">
        <v>37</v>
      </c>
      <c r="AD98" s="12">
        <v>19.78</v>
      </c>
      <c r="AE98" s="8">
        <v>0</v>
      </c>
      <c r="AF98" s="14">
        <v>0.16216216216216217</v>
      </c>
      <c r="AG98" s="8" t="s">
        <v>386</v>
      </c>
      <c r="AH98" s="15" t="s">
        <v>957</v>
      </c>
      <c r="AI98" s="15" t="s">
        <v>468</v>
      </c>
      <c r="AJ98" s="16">
        <v>181.48855819177314</v>
      </c>
      <c r="AK98" s="16">
        <v>49.28843184051664</v>
      </c>
      <c r="AL98" s="17">
        <f>(9260/B98)*100</f>
        <v>65.00070195142497</v>
      </c>
      <c r="AM98" s="43">
        <v>0.140390284992279</v>
      </c>
      <c r="AN98" s="43">
        <v>0.154429313491506</v>
      </c>
    </row>
    <row r="99" spans="1:40" ht="12">
      <c r="A99" s="7" t="s">
        <v>323</v>
      </c>
      <c r="B99" s="17">
        <v>18567</v>
      </c>
      <c r="C99" s="8" t="s">
        <v>860</v>
      </c>
      <c r="D99" s="9" t="s">
        <v>972</v>
      </c>
      <c r="E99" s="10">
        <f t="shared" si="2"/>
        <v>10.206849779586301</v>
      </c>
      <c r="F99" s="9">
        <v>249900</v>
      </c>
      <c r="G99" s="9">
        <v>225000</v>
      </c>
      <c r="H99" s="10">
        <f t="shared" si="3"/>
        <v>11.066666666666666</v>
      </c>
      <c r="I99" s="11">
        <v>11.54</v>
      </c>
      <c r="J99" s="9">
        <v>64818</v>
      </c>
      <c r="K99" s="9">
        <v>225</v>
      </c>
      <c r="L99" s="9">
        <v>401</v>
      </c>
      <c r="M99" s="12">
        <v>33.4</v>
      </c>
      <c r="N99" s="12">
        <v>8.4</v>
      </c>
      <c r="O99" s="12">
        <v>628</v>
      </c>
      <c r="P99" s="12">
        <v>40.05</v>
      </c>
      <c r="Q99" s="12" t="s">
        <v>1129</v>
      </c>
      <c r="R99" s="9">
        <v>6231</v>
      </c>
      <c r="S99" s="3" t="s">
        <v>199</v>
      </c>
      <c r="T99" s="3" t="s">
        <v>36</v>
      </c>
      <c r="U99" s="4" t="s">
        <v>925</v>
      </c>
      <c r="V99" s="1" t="s">
        <v>368</v>
      </c>
      <c r="W99" s="12">
        <v>74</v>
      </c>
      <c r="X99" s="9">
        <v>45608</v>
      </c>
      <c r="Y99" s="8">
        <v>16</v>
      </c>
      <c r="Z99" s="44">
        <v>3.1</v>
      </c>
      <c r="AA99" s="8">
        <v>100</v>
      </c>
      <c r="AB99" s="8">
        <v>5</v>
      </c>
      <c r="AC99" s="8">
        <v>42</v>
      </c>
      <c r="AD99" s="12">
        <v>5.9</v>
      </c>
      <c r="AE99" s="8">
        <v>1</v>
      </c>
      <c r="AF99" s="14">
        <v>0.10452961672473868</v>
      </c>
      <c r="AG99" s="8" t="s">
        <v>385</v>
      </c>
      <c r="AH99" s="15" t="s">
        <v>937</v>
      </c>
      <c r="AI99" s="15" t="s">
        <v>990</v>
      </c>
      <c r="AJ99" s="16">
        <v>207.07039370926913</v>
      </c>
      <c r="AK99" s="16">
        <v>24.153982872838906</v>
      </c>
      <c r="AL99" s="17">
        <f>(10588/B99)*100</f>
        <v>57.02590617762697</v>
      </c>
      <c r="AM99" s="43">
        <v>0.134647492863683</v>
      </c>
      <c r="AN99" s="43">
        <v>0.172348790865514</v>
      </c>
    </row>
    <row r="100" spans="1:40" ht="12">
      <c r="A100" s="7" t="s">
        <v>324</v>
      </c>
      <c r="B100" s="17">
        <v>10166</v>
      </c>
      <c r="C100" s="8" t="s">
        <v>845</v>
      </c>
      <c r="D100" s="9" t="s">
        <v>1053</v>
      </c>
      <c r="E100" s="10">
        <f t="shared" si="2"/>
        <v>10.759493670886076</v>
      </c>
      <c r="F100" s="9">
        <v>440000</v>
      </c>
      <c r="G100" s="9">
        <v>426200</v>
      </c>
      <c r="H100" s="10">
        <f t="shared" si="3"/>
        <v>3.2379164711403097</v>
      </c>
      <c r="I100" s="11">
        <v>12.72</v>
      </c>
      <c r="J100" s="9">
        <v>87397</v>
      </c>
      <c r="K100" s="9">
        <v>336</v>
      </c>
      <c r="L100" s="9" t="s">
        <v>1129</v>
      </c>
      <c r="M100" s="12">
        <v>40.1</v>
      </c>
      <c r="N100" s="12">
        <v>2.9</v>
      </c>
      <c r="O100" s="12">
        <v>467</v>
      </c>
      <c r="P100" s="12">
        <v>25.27</v>
      </c>
      <c r="Q100" s="12" t="s">
        <v>1129</v>
      </c>
      <c r="R100" s="9">
        <v>8141</v>
      </c>
      <c r="S100" s="3" t="s">
        <v>200</v>
      </c>
      <c r="T100" s="3" t="s">
        <v>37</v>
      </c>
      <c r="U100" s="4" t="s">
        <v>897</v>
      </c>
      <c r="V100" s="1" t="s">
        <v>1097</v>
      </c>
      <c r="W100" s="12">
        <v>92</v>
      </c>
      <c r="X100" s="9">
        <v>55341</v>
      </c>
      <c r="Y100" s="8">
        <v>14</v>
      </c>
      <c r="Z100" s="44">
        <v>0</v>
      </c>
      <c r="AA100" s="8">
        <v>100</v>
      </c>
      <c r="AB100" s="8">
        <v>2</v>
      </c>
      <c r="AC100" s="8">
        <v>18</v>
      </c>
      <c r="AD100" s="12">
        <v>20.56</v>
      </c>
      <c r="AE100" s="8">
        <v>1</v>
      </c>
      <c r="AF100" s="14">
        <v>0.19138755980861244</v>
      </c>
      <c r="AG100" s="8" t="s">
        <v>385</v>
      </c>
      <c r="AH100" s="15" t="s">
        <v>568</v>
      </c>
      <c r="AI100" s="15" t="s">
        <v>581</v>
      </c>
      <c r="AJ100" s="16">
        <v>284.8671060397403</v>
      </c>
      <c r="AK100" s="16">
        <v>50.98819594727523</v>
      </c>
      <c r="AL100" s="17">
        <f>(7277/B100)*100</f>
        <v>71.58174306511901</v>
      </c>
      <c r="AM100" s="43">
        <v>0.206570922683455</v>
      </c>
      <c r="AN100" s="43">
        <v>0.14755065905961</v>
      </c>
    </row>
    <row r="101" spans="1:40" ht="12">
      <c r="A101" s="7" t="s">
        <v>325</v>
      </c>
      <c r="B101" s="17">
        <v>28844</v>
      </c>
      <c r="C101" s="8" t="s">
        <v>861</v>
      </c>
      <c r="D101" s="9" t="s">
        <v>1054</v>
      </c>
      <c r="E101" s="10">
        <f t="shared" si="2"/>
        <v>9.494309177351967</v>
      </c>
      <c r="F101" s="9">
        <v>283000</v>
      </c>
      <c r="G101" s="9">
        <v>246500</v>
      </c>
      <c r="H101" s="10">
        <f t="shared" si="3"/>
        <v>14.807302231237324</v>
      </c>
      <c r="I101" s="11">
        <v>9.16</v>
      </c>
      <c r="J101" s="9">
        <v>58421</v>
      </c>
      <c r="K101" s="9">
        <v>316.32</v>
      </c>
      <c r="L101" s="9">
        <v>509.4</v>
      </c>
      <c r="M101" s="12">
        <v>38.6</v>
      </c>
      <c r="N101" s="12">
        <v>10.4</v>
      </c>
      <c r="O101" s="12">
        <v>2723</v>
      </c>
      <c r="P101" s="12">
        <v>24.84</v>
      </c>
      <c r="Q101" s="12">
        <v>34</v>
      </c>
      <c r="R101" s="9">
        <v>7894</v>
      </c>
      <c r="S101" s="3" t="s">
        <v>201</v>
      </c>
      <c r="T101" s="3" t="s">
        <v>38</v>
      </c>
      <c r="U101" s="4" t="s">
        <v>924</v>
      </c>
      <c r="V101" s="8" t="s">
        <v>1098</v>
      </c>
      <c r="W101" s="12">
        <v>88</v>
      </c>
      <c r="X101" s="9">
        <v>48886</v>
      </c>
      <c r="Y101" s="8">
        <v>13</v>
      </c>
      <c r="Z101" s="44">
        <v>1.3</v>
      </c>
      <c r="AA101" s="8">
        <v>100</v>
      </c>
      <c r="AB101" s="8">
        <v>6</v>
      </c>
      <c r="AC101" s="8">
        <v>36</v>
      </c>
      <c r="AD101" s="12">
        <v>5.8</v>
      </c>
      <c r="AE101" s="8">
        <v>2</v>
      </c>
      <c r="AF101" s="14">
        <v>0.9523809523809523</v>
      </c>
      <c r="AG101" s="8" t="s">
        <v>385</v>
      </c>
      <c r="AH101" s="15" t="s">
        <v>1138</v>
      </c>
      <c r="AI101" s="15" t="s">
        <v>582</v>
      </c>
      <c r="AJ101" s="16">
        <v>302.69539592289556</v>
      </c>
      <c r="AK101" s="16">
        <v>80.7649424490362</v>
      </c>
      <c r="AL101" s="17">
        <f>(19054/B101)*100</f>
        <v>66.05879905699625</v>
      </c>
      <c r="AM101" s="43">
        <v>0.277354042435168</v>
      </c>
      <c r="AN101" s="43">
        <v>0.232284010539454</v>
      </c>
    </row>
    <row r="102" spans="1:40" ht="12">
      <c r="A102" s="7" t="s">
        <v>659</v>
      </c>
      <c r="B102" s="17">
        <v>49668</v>
      </c>
      <c r="C102" s="8" t="s">
        <v>862</v>
      </c>
      <c r="D102" s="9" t="s">
        <v>1055</v>
      </c>
      <c r="E102" s="10">
        <f t="shared" si="2"/>
        <v>8.814589665653495</v>
      </c>
      <c r="F102" s="9">
        <v>247000</v>
      </c>
      <c r="G102" s="9">
        <v>275000</v>
      </c>
      <c r="H102" s="10">
        <f t="shared" si="3"/>
        <v>-10.181818181818182</v>
      </c>
      <c r="I102" s="11">
        <v>9.45</v>
      </c>
      <c r="J102" s="9">
        <v>54829</v>
      </c>
      <c r="K102" s="9">
        <v>265.8</v>
      </c>
      <c r="L102" s="9">
        <v>356.4</v>
      </c>
      <c r="M102" s="12">
        <v>40.3</v>
      </c>
      <c r="N102" s="12">
        <v>7.6</v>
      </c>
      <c r="O102" s="12">
        <v>2935</v>
      </c>
      <c r="P102" s="12">
        <v>18.95</v>
      </c>
      <c r="Q102" s="12" t="s">
        <v>1129</v>
      </c>
      <c r="R102" s="9">
        <v>7845</v>
      </c>
      <c r="S102" s="3" t="s">
        <v>202</v>
      </c>
      <c r="T102" s="3" t="s">
        <v>39</v>
      </c>
      <c r="U102" s="4" t="s">
        <v>923</v>
      </c>
      <c r="V102" s="8" t="s">
        <v>1099</v>
      </c>
      <c r="W102" s="12">
        <v>86</v>
      </c>
      <c r="X102" s="9">
        <v>50139</v>
      </c>
      <c r="Y102" s="8">
        <v>14</v>
      </c>
      <c r="Z102" s="44">
        <v>3.4</v>
      </c>
      <c r="AA102" s="8">
        <v>93</v>
      </c>
      <c r="AB102" s="8">
        <v>8</v>
      </c>
      <c r="AC102" s="8">
        <v>78</v>
      </c>
      <c r="AD102" s="12">
        <v>9.41</v>
      </c>
      <c r="AE102" s="8">
        <v>4</v>
      </c>
      <c r="AF102" s="14">
        <v>1.3414634146341464</v>
      </c>
      <c r="AG102" s="8" t="s">
        <v>386</v>
      </c>
      <c r="AH102" s="15" t="s">
        <v>569</v>
      </c>
      <c r="AI102" s="15" t="s">
        <v>583</v>
      </c>
      <c r="AJ102" s="16">
        <v>243.74806716598212</v>
      </c>
      <c r="AK102" s="16">
        <v>51.35491664653298</v>
      </c>
      <c r="AL102" s="17">
        <f>(32914/B102)*100</f>
        <v>66.26801965047918</v>
      </c>
      <c r="AM102" s="43">
        <v>0.291938471450431</v>
      </c>
      <c r="AN102" s="43">
        <v>0.304018684062173</v>
      </c>
    </row>
    <row r="103" spans="1:40" ht="12">
      <c r="A103" s="7" t="s">
        <v>660</v>
      </c>
      <c r="B103" s="17">
        <v>17541</v>
      </c>
      <c r="C103" s="8" t="s">
        <v>863</v>
      </c>
      <c r="D103" s="9" t="s">
        <v>361</v>
      </c>
      <c r="E103" s="10">
        <f t="shared" si="2"/>
        <v>14.737704918032787</v>
      </c>
      <c r="F103" s="9">
        <v>269900</v>
      </c>
      <c r="G103" s="9">
        <v>253500</v>
      </c>
      <c r="H103" s="10">
        <f t="shared" si="3"/>
        <v>6.4694280078895465</v>
      </c>
      <c r="I103" s="11">
        <v>12.12</v>
      </c>
      <c r="J103" s="9">
        <v>65050</v>
      </c>
      <c r="K103" s="9">
        <v>333</v>
      </c>
      <c r="L103" s="9" t="s">
        <v>1129</v>
      </c>
      <c r="M103" s="12">
        <v>36</v>
      </c>
      <c r="N103" s="12">
        <v>2.4</v>
      </c>
      <c r="O103" s="12">
        <v>777</v>
      </c>
      <c r="P103" s="12">
        <v>30.35</v>
      </c>
      <c r="Q103" s="12" t="s">
        <v>1129</v>
      </c>
      <c r="R103" s="2">
        <v>7844</v>
      </c>
      <c r="S103" s="3" t="s">
        <v>203</v>
      </c>
      <c r="T103" s="3" t="s">
        <v>93</v>
      </c>
      <c r="U103" s="4" t="s">
        <v>903</v>
      </c>
      <c r="V103" s="1" t="s">
        <v>548</v>
      </c>
      <c r="W103" s="12">
        <v>73</v>
      </c>
      <c r="X103" s="2">
        <v>52336</v>
      </c>
      <c r="Y103" s="8">
        <v>13</v>
      </c>
      <c r="Z103" s="44">
        <v>3.4</v>
      </c>
      <c r="AA103" s="8">
        <v>100</v>
      </c>
      <c r="AB103" s="8">
        <v>19</v>
      </c>
      <c r="AC103" s="8">
        <v>15</v>
      </c>
      <c r="AD103" s="12">
        <v>9.04</v>
      </c>
      <c r="AE103" s="8">
        <v>0</v>
      </c>
      <c r="AF103" s="14">
        <v>0.09174311926605504</v>
      </c>
      <c r="AG103" s="8" t="s">
        <v>385</v>
      </c>
      <c r="AH103" s="15" t="s">
        <v>1137</v>
      </c>
      <c r="AI103" s="15" t="s">
        <v>642</v>
      </c>
      <c r="AJ103" s="16">
        <v>229.53731258195086</v>
      </c>
      <c r="AK103" s="16">
        <v>32.69454421070635</v>
      </c>
      <c r="AL103" s="17">
        <f>(11437/B103)*100</f>
        <v>65.2015278490394</v>
      </c>
      <c r="AM103" s="43">
        <v>0.188130665298444</v>
      </c>
      <c r="AN103" s="43">
        <v>0.131121372783764</v>
      </c>
    </row>
    <row r="104" spans="1:40" ht="12">
      <c r="A104" s="7" t="s">
        <v>661</v>
      </c>
      <c r="B104" s="17">
        <v>7914</v>
      </c>
      <c r="C104" s="8" t="s">
        <v>557</v>
      </c>
      <c r="D104" s="9" t="s">
        <v>871</v>
      </c>
      <c r="E104" s="10">
        <f t="shared" si="2"/>
        <v>15.87195731910637</v>
      </c>
      <c r="F104" s="9">
        <v>235700</v>
      </c>
      <c r="G104" s="9">
        <v>217500</v>
      </c>
      <c r="H104" s="10">
        <f t="shared" si="3"/>
        <v>8.367816091954023</v>
      </c>
      <c r="I104" s="11">
        <v>12.6</v>
      </c>
      <c r="J104" s="9">
        <v>57155</v>
      </c>
      <c r="K104" s="9">
        <v>540</v>
      </c>
      <c r="L104" s="9">
        <v>383</v>
      </c>
      <c r="M104" s="12">
        <v>36.9</v>
      </c>
      <c r="N104" s="12">
        <v>3.9</v>
      </c>
      <c r="O104" s="12">
        <v>692</v>
      </c>
      <c r="P104" s="12">
        <v>37.2</v>
      </c>
      <c r="Q104" s="12" t="s">
        <v>1129</v>
      </c>
      <c r="R104" s="2">
        <v>7457</v>
      </c>
      <c r="S104" s="3" t="s">
        <v>204</v>
      </c>
      <c r="T104" s="3" t="s">
        <v>31</v>
      </c>
      <c r="U104" s="4" t="s">
        <v>1038</v>
      </c>
      <c r="V104" s="1" t="s">
        <v>1092</v>
      </c>
      <c r="W104" s="12">
        <v>73</v>
      </c>
      <c r="X104" s="2">
        <v>51722</v>
      </c>
      <c r="Y104" s="8">
        <v>16</v>
      </c>
      <c r="Z104" s="44">
        <v>2</v>
      </c>
      <c r="AA104" s="8">
        <v>100</v>
      </c>
      <c r="AB104" s="8">
        <v>5</v>
      </c>
      <c r="AC104" s="8">
        <v>11</v>
      </c>
      <c r="AD104" s="12">
        <v>8.58</v>
      </c>
      <c r="AE104" s="8">
        <v>1</v>
      </c>
      <c r="AF104" s="14">
        <v>0.6306306306306306</v>
      </c>
      <c r="AG104" s="8" t="s">
        <v>385</v>
      </c>
      <c r="AH104" s="15" t="s">
        <v>570</v>
      </c>
      <c r="AI104" s="15" t="s">
        <v>568</v>
      </c>
      <c r="AJ104" s="16">
        <v>213.2984584281021</v>
      </c>
      <c r="AK104" s="16">
        <v>26.924943138741472</v>
      </c>
      <c r="AL104" s="17">
        <f>(5319/B104)*100</f>
        <v>67.21000758150115</v>
      </c>
      <c r="AM104" s="43">
        <v>0.27798837503159</v>
      </c>
      <c r="AN104" s="43">
        <v>0.240080869345464</v>
      </c>
    </row>
    <row r="105" spans="1:40" ht="12">
      <c r="A105" s="7" t="s">
        <v>662</v>
      </c>
      <c r="B105" s="17">
        <v>53789</v>
      </c>
      <c r="C105" s="8" t="s">
        <v>558</v>
      </c>
      <c r="D105" s="9" t="s">
        <v>362</v>
      </c>
      <c r="E105" s="10">
        <f t="shared" si="2"/>
        <v>12.612456747404844</v>
      </c>
      <c r="F105" s="9">
        <v>187500</v>
      </c>
      <c r="G105" s="9">
        <v>173000</v>
      </c>
      <c r="H105" s="10">
        <f t="shared" si="3"/>
        <v>8.38150289017341</v>
      </c>
      <c r="I105" s="11">
        <v>12.3</v>
      </c>
      <c r="J105" s="9">
        <v>54677</v>
      </c>
      <c r="K105" s="9">
        <v>175</v>
      </c>
      <c r="L105" s="9">
        <v>386</v>
      </c>
      <c r="M105" s="12">
        <v>36.5</v>
      </c>
      <c r="N105" s="12">
        <v>6</v>
      </c>
      <c r="O105" s="12">
        <v>536</v>
      </c>
      <c r="P105" s="12">
        <v>39.64</v>
      </c>
      <c r="Q105" s="12">
        <v>57</v>
      </c>
      <c r="R105" s="9">
        <v>7716</v>
      </c>
      <c r="S105" s="3" t="s">
        <v>205</v>
      </c>
      <c r="T105" s="3" t="s">
        <v>228</v>
      </c>
      <c r="U105" s="4" t="s">
        <v>922</v>
      </c>
      <c r="V105" s="8" t="s">
        <v>1100</v>
      </c>
      <c r="W105" s="12">
        <v>68</v>
      </c>
      <c r="X105" s="9">
        <v>52859</v>
      </c>
      <c r="Y105" s="8">
        <v>14</v>
      </c>
      <c r="Z105" s="44">
        <v>3.5</v>
      </c>
      <c r="AA105" s="8">
        <v>100</v>
      </c>
      <c r="AB105" s="8">
        <v>3</v>
      </c>
      <c r="AC105" s="8">
        <v>92</v>
      </c>
      <c r="AD105" s="12">
        <v>22.68</v>
      </c>
      <c r="AE105" s="8">
        <v>3</v>
      </c>
      <c r="AF105" s="14">
        <v>0.06217616580310881</v>
      </c>
      <c r="AG105" s="8" t="s">
        <v>385</v>
      </c>
      <c r="AH105" s="15" t="s">
        <v>571</v>
      </c>
      <c r="AI105" s="15" t="s">
        <v>584</v>
      </c>
      <c r="AJ105" s="16">
        <v>269.03026641134807</v>
      </c>
      <c r="AK105" s="16">
        <v>32.91697187157225</v>
      </c>
      <c r="AL105" s="17">
        <f>(35443/B105)*100</f>
        <v>65.89265463198795</v>
      </c>
      <c r="AM105" s="43">
        <v>0.182193385264645</v>
      </c>
      <c r="AN105" s="43">
        <v>0.221234824964212</v>
      </c>
    </row>
    <row r="106" spans="1:40" ht="12">
      <c r="A106" s="7" t="s">
        <v>663</v>
      </c>
      <c r="B106" s="17">
        <v>2702</v>
      </c>
      <c r="C106" s="8" t="s">
        <v>559</v>
      </c>
      <c r="D106" s="9" t="s">
        <v>1056</v>
      </c>
      <c r="E106" s="10">
        <f t="shared" si="2"/>
        <v>15.805022156573118</v>
      </c>
      <c r="F106" s="9" t="s">
        <v>1129</v>
      </c>
      <c r="G106" s="9" t="s">
        <v>1129</v>
      </c>
      <c r="H106" s="10" t="s">
        <v>1129</v>
      </c>
      <c r="I106" s="11">
        <v>15.15</v>
      </c>
      <c r="J106" s="9">
        <v>70045</v>
      </c>
      <c r="K106" s="9" t="s">
        <v>1129</v>
      </c>
      <c r="L106" s="9" t="s">
        <v>1129</v>
      </c>
      <c r="M106" s="12">
        <v>37.7</v>
      </c>
      <c r="N106" s="12">
        <v>3.4</v>
      </c>
      <c r="O106" s="12">
        <v>178</v>
      </c>
      <c r="P106" s="12">
        <v>41.54</v>
      </c>
      <c r="Q106" s="12" t="s">
        <v>1129</v>
      </c>
      <c r="R106" s="2">
        <v>7844</v>
      </c>
      <c r="S106" s="3" t="s">
        <v>206</v>
      </c>
      <c r="T106" s="3" t="s">
        <v>93</v>
      </c>
      <c r="U106" s="4" t="s">
        <v>903</v>
      </c>
      <c r="V106" s="1" t="s">
        <v>548</v>
      </c>
      <c r="W106" s="12">
        <v>73</v>
      </c>
      <c r="X106" s="2">
        <v>52336</v>
      </c>
      <c r="Y106" s="8">
        <v>13</v>
      </c>
      <c r="Z106" s="44">
        <v>3.4</v>
      </c>
      <c r="AA106" s="8">
        <v>100</v>
      </c>
      <c r="AB106" s="8">
        <v>19</v>
      </c>
      <c r="AC106" s="8">
        <v>6</v>
      </c>
      <c r="AD106" s="12">
        <v>1.5</v>
      </c>
      <c r="AE106" s="8">
        <v>0</v>
      </c>
      <c r="AF106" s="14">
        <v>0</v>
      </c>
      <c r="AG106" s="8" t="s">
        <v>385</v>
      </c>
      <c r="AH106" s="15" t="s">
        <v>1129</v>
      </c>
      <c r="AI106" s="15" t="s">
        <v>1129</v>
      </c>
      <c r="AJ106" s="16">
        <v>196.61065877128053</v>
      </c>
      <c r="AK106" s="16">
        <v>31.088452997779424</v>
      </c>
      <c r="AL106" s="17">
        <f>(1987/B106)*100</f>
        <v>73.5381199111769</v>
      </c>
      <c r="AM106" s="43">
        <v>0.333086602516654</v>
      </c>
      <c r="AN106" s="43">
        <v>0.074019245003701</v>
      </c>
    </row>
    <row r="107" spans="1:40" ht="12">
      <c r="A107" s="7" t="s">
        <v>664</v>
      </c>
      <c r="B107" s="17">
        <v>89187</v>
      </c>
      <c r="C107" s="8" t="s">
        <v>560</v>
      </c>
      <c r="D107" s="9" t="s">
        <v>1057</v>
      </c>
      <c r="E107" s="10">
        <f t="shared" si="2"/>
        <v>9.534883720930234</v>
      </c>
      <c r="F107" s="9">
        <v>249900</v>
      </c>
      <c r="G107" s="9">
        <v>226000</v>
      </c>
      <c r="H107" s="10">
        <f t="shared" si="3"/>
        <v>10.575221238938052</v>
      </c>
      <c r="I107" s="11">
        <v>13.62</v>
      </c>
      <c r="J107" s="9">
        <v>47121</v>
      </c>
      <c r="K107" s="9">
        <v>302.4</v>
      </c>
      <c r="L107" s="9">
        <v>577.08</v>
      </c>
      <c r="M107" s="12">
        <v>37.6</v>
      </c>
      <c r="N107" s="12">
        <v>21.6</v>
      </c>
      <c r="O107" s="12">
        <v>5240</v>
      </c>
      <c r="P107" s="12">
        <v>9.36</v>
      </c>
      <c r="Q107" s="12">
        <v>14</v>
      </c>
      <c r="R107" s="9">
        <v>6693</v>
      </c>
      <c r="S107" s="3" t="s">
        <v>207</v>
      </c>
      <c r="T107" s="3" t="s">
        <v>229</v>
      </c>
      <c r="U107" s="4" t="s">
        <v>921</v>
      </c>
      <c r="V107" s="8" t="s">
        <v>1101</v>
      </c>
      <c r="W107" s="12">
        <v>81</v>
      </c>
      <c r="X107" s="9">
        <v>49270</v>
      </c>
      <c r="Y107" s="8">
        <v>13</v>
      </c>
      <c r="Z107" s="44">
        <v>4.8</v>
      </c>
      <c r="AA107" s="8">
        <v>100</v>
      </c>
      <c r="AB107" s="8">
        <v>6</v>
      </c>
      <c r="AC107" s="8">
        <v>75</v>
      </c>
      <c r="AD107" s="12">
        <v>30.12</v>
      </c>
      <c r="AE107" s="8">
        <v>1</v>
      </c>
      <c r="AF107" s="14">
        <v>1.607142857142857</v>
      </c>
      <c r="AG107" s="8" t="s">
        <v>385</v>
      </c>
      <c r="AH107" s="15" t="s">
        <v>572</v>
      </c>
      <c r="AI107" s="15" t="s">
        <v>585</v>
      </c>
      <c r="AJ107" s="16">
        <v>387.1081772007131</v>
      </c>
      <c r="AK107" s="16">
        <v>61.611400764685435</v>
      </c>
      <c r="AL107" s="17">
        <f>(62809/B107)*100</f>
        <v>70.4239407088477</v>
      </c>
      <c r="AM107" s="43">
        <v>0.273582472781908</v>
      </c>
      <c r="AN107" s="43">
        <v>0.248915200645834</v>
      </c>
    </row>
    <row r="108" spans="1:40" ht="12">
      <c r="A108" s="7" t="s">
        <v>665</v>
      </c>
      <c r="B108" s="17">
        <v>31044</v>
      </c>
      <c r="C108" s="8" t="s">
        <v>561</v>
      </c>
      <c r="D108" s="9" t="s">
        <v>1058</v>
      </c>
      <c r="E108" s="10">
        <f t="shared" si="2"/>
        <v>12.23021582733813</v>
      </c>
      <c r="F108" s="9">
        <v>254500</v>
      </c>
      <c r="G108" s="9">
        <v>233000</v>
      </c>
      <c r="H108" s="10">
        <f t="shared" si="3"/>
        <v>9.2274678111588</v>
      </c>
      <c r="I108" s="11">
        <v>12.67</v>
      </c>
      <c r="J108" s="9">
        <v>55255</v>
      </c>
      <c r="K108" s="9">
        <v>222</v>
      </c>
      <c r="L108" s="9">
        <v>424</v>
      </c>
      <c r="M108" s="12">
        <v>38.3</v>
      </c>
      <c r="N108" s="12">
        <v>38.5</v>
      </c>
      <c r="O108" s="12">
        <v>3067</v>
      </c>
      <c r="P108" s="12">
        <v>16.54</v>
      </c>
      <c r="Q108" s="12">
        <v>26</v>
      </c>
      <c r="R108" s="9">
        <v>7493</v>
      </c>
      <c r="S108" s="3" t="s">
        <v>208</v>
      </c>
      <c r="T108" s="3" t="s">
        <v>230</v>
      </c>
      <c r="U108" s="4" t="s">
        <v>920</v>
      </c>
      <c r="V108" s="8" t="s">
        <v>1102</v>
      </c>
      <c r="W108" s="12">
        <v>86</v>
      </c>
      <c r="X108" s="9">
        <v>48469</v>
      </c>
      <c r="Y108" s="8">
        <v>14</v>
      </c>
      <c r="Z108" s="44">
        <v>4.2</v>
      </c>
      <c r="AA108" s="8">
        <v>100</v>
      </c>
      <c r="AB108" s="8">
        <v>4</v>
      </c>
      <c r="AC108" s="8">
        <v>78</v>
      </c>
      <c r="AD108" s="12">
        <v>20.5</v>
      </c>
      <c r="AE108" s="8">
        <v>1</v>
      </c>
      <c r="AF108" s="14">
        <v>0.594059405940594</v>
      </c>
      <c r="AG108" s="8" t="s">
        <v>385</v>
      </c>
      <c r="AH108" s="15" t="s">
        <v>573</v>
      </c>
      <c r="AI108" s="15" t="s">
        <v>1162</v>
      </c>
      <c r="AJ108" s="16">
        <v>252.10488339131555</v>
      </c>
      <c r="AK108" s="16">
        <v>28.87624017523515</v>
      </c>
      <c r="AL108" s="17">
        <f>(17629/B108)*100</f>
        <v>56.787140832366966</v>
      </c>
      <c r="AM108" s="43">
        <v>0.267362453292102</v>
      </c>
      <c r="AN108" s="43">
        <v>0.248035047030022</v>
      </c>
    </row>
    <row r="109" spans="1:40" ht="12.75" customHeight="1">
      <c r="A109" s="7" t="s">
        <v>666</v>
      </c>
      <c r="B109" s="17">
        <v>12276</v>
      </c>
      <c r="C109" s="8" t="s">
        <v>979</v>
      </c>
      <c r="D109" s="9" t="s">
        <v>1059</v>
      </c>
      <c r="E109" s="10">
        <f t="shared" si="2"/>
        <v>16.28721541155867</v>
      </c>
      <c r="F109" s="9">
        <v>245000</v>
      </c>
      <c r="G109" s="9">
        <v>153000</v>
      </c>
      <c r="H109" s="10">
        <f t="shared" si="3"/>
        <v>60.130718954248366</v>
      </c>
      <c r="I109" s="11">
        <v>14.43</v>
      </c>
      <c r="J109" s="9">
        <v>60449</v>
      </c>
      <c r="K109" s="2" t="s">
        <v>1184</v>
      </c>
      <c r="L109" s="9">
        <v>204</v>
      </c>
      <c r="M109" s="12">
        <v>37.8</v>
      </c>
      <c r="N109" s="12">
        <v>4</v>
      </c>
      <c r="O109" s="12">
        <v>573</v>
      </c>
      <c r="P109" s="12">
        <v>34.16</v>
      </c>
      <c r="Q109" s="12" t="s">
        <v>1129</v>
      </c>
      <c r="R109" s="9">
        <v>6722</v>
      </c>
      <c r="S109" s="3" t="s">
        <v>16</v>
      </c>
      <c r="T109" s="3" t="s">
        <v>59</v>
      </c>
      <c r="U109" s="4" t="s">
        <v>919</v>
      </c>
      <c r="V109" s="1" t="s">
        <v>296</v>
      </c>
      <c r="W109" s="12">
        <v>86</v>
      </c>
      <c r="X109" s="9">
        <v>56390</v>
      </c>
      <c r="Y109" s="8">
        <v>18</v>
      </c>
      <c r="Z109" s="44">
        <v>0.1</v>
      </c>
      <c r="AA109" s="8">
        <v>96</v>
      </c>
      <c r="AB109" s="8">
        <v>5</v>
      </c>
      <c r="AC109" s="8">
        <v>23</v>
      </c>
      <c r="AD109" s="12">
        <v>7.57</v>
      </c>
      <c r="AE109" s="8">
        <v>0</v>
      </c>
      <c r="AF109" s="14">
        <v>0.24390243902439024</v>
      </c>
      <c r="AG109" s="8" t="s">
        <v>385</v>
      </c>
      <c r="AH109" s="15" t="s">
        <v>574</v>
      </c>
      <c r="AI109" s="15" t="s">
        <v>586</v>
      </c>
      <c r="AJ109" s="16">
        <v>358.36355490387746</v>
      </c>
      <c r="AK109" s="16">
        <v>33.456011730205276</v>
      </c>
      <c r="AL109" s="17">
        <f>(8748/B109)*100</f>
        <v>71.26099706744868</v>
      </c>
      <c r="AM109" s="43">
        <v>0.252525252525253</v>
      </c>
      <c r="AN109" s="43">
        <v>0.211795373085696</v>
      </c>
    </row>
    <row r="110" spans="1:40" ht="13.5" customHeight="1">
      <c r="A110" s="7" t="s">
        <v>667</v>
      </c>
      <c r="B110" s="17">
        <v>23680</v>
      </c>
      <c r="C110" s="8" t="s">
        <v>562</v>
      </c>
      <c r="D110" s="9" t="s">
        <v>1060</v>
      </c>
      <c r="E110" s="10">
        <f t="shared" si="2"/>
        <v>7.647814910025708</v>
      </c>
      <c r="F110" s="9">
        <v>280000</v>
      </c>
      <c r="G110" s="9">
        <v>277000</v>
      </c>
      <c r="H110" s="10">
        <f t="shared" si="3"/>
        <v>1.083032490974729</v>
      </c>
      <c r="I110" s="11">
        <v>11.49</v>
      </c>
      <c r="J110" s="9">
        <v>77059</v>
      </c>
      <c r="K110" s="9">
        <v>559.2</v>
      </c>
      <c r="L110" s="9">
        <v>642</v>
      </c>
      <c r="M110" s="12">
        <v>39.1</v>
      </c>
      <c r="N110" s="12">
        <v>4.2</v>
      </c>
      <c r="O110" s="12">
        <v>2395</v>
      </c>
      <c r="P110" s="12">
        <v>14.3</v>
      </c>
      <c r="Q110" s="12">
        <v>30</v>
      </c>
      <c r="R110" s="9">
        <v>6817</v>
      </c>
      <c r="S110" s="3" t="s">
        <v>517</v>
      </c>
      <c r="T110" s="3" t="s">
        <v>231</v>
      </c>
      <c r="U110" s="4" t="s">
        <v>918</v>
      </c>
      <c r="V110" s="1" t="s">
        <v>1103</v>
      </c>
      <c r="W110" s="12">
        <v>89</v>
      </c>
      <c r="X110" s="9">
        <v>52756</v>
      </c>
      <c r="Y110" s="8">
        <v>15</v>
      </c>
      <c r="Z110" s="44">
        <v>1.3</v>
      </c>
      <c r="AA110" s="8">
        <v>91</v>
      </c>
      <c r="AB110" s="8">
        <v>5</v>
      </c>
      <c r="AC110" s="8">
        <v>43</v>
      </c>
      <c r="AD110" s="12">
        <v>23</v>
      </c>
      <c r="AE110" s="8">
        <v>2</v>
      </c>
      <c r="AF110" s="14">
        <v>0.9090909090909091</v>
      </c>
      <c r="AG110" s="8" t="s">
        <v>386</v>
      </c>
      <c r="AH110" s="15" t="s">
        <v>941</v>
      </c>
      <c r="AI110" s="15" t="s">
        <v>587</v>
      </c>
      <c r="AJ110" s="16">
        <v>230.16697635135134</v>
      </c>
      <c r="AK110" s="16">
        <v>36.07170608108108</v>
      </c>
      <c r="AL110" s="17">
        <f>(16455/B110)*100</f>
        <v>69.48902027027027</v>
      </c>
      <c r="AM110" s="43">
        <v>0.160472972972973</v>
      </c>
      <c r="AN110" s="43">
        <v>0.266047297297297</v>
      </c>
    </row>
    <row r="111" spans="1:40" ht="12">
      <c r="A111" s="7" t="s">
        <v>668</v>
      </c>
      <c r="B111" s="17">
        <v>47496</v>
      </c>
      <c r="C111" s="8" t="s">
        <v>976</v>
      </c>
      <c r="D111" s="9" t="s">
        <v>1061</v>
      </c>
      <c r="E111" s="10">
        <f t="shared" si="2"/>
        <v>10.13986013986014</v>
      </c>
      <c r="F111" s="9">
        <v>244950</v>
      </c>
      <c r="G111" s="9">
        <v>239900</v>
      </c>
      <c r="H111" s="10">
        <f t="shared" si="3"/>
        <v>2.1050437682367655</v>
      </c>
      <c r="I111" s="11">
        <v>13.58</v>
      </c>
      <c r="J111" s="9">
        <v>37067</v>
      </c>
      <c r="K111" s="9">
        <v>246</v>
      </c>
      <c r="L111" s="9">
        <v>727.2</v>
      </c>
      <c r="M111" s="12">
        <v>37.6</v>
      </c>
      <c r="N111" s="12">
        <v>20.6</v>
      </c>
      <c r="O111" s="12">
        <v>8014</v>
      </c>
      <c r="P111" s="12">
        <v>6.51</v>
      </c>
      <c r="Q111" s="12" t="s">
        <v>1129</v>
      </c>
      <c r="R111" s="9">
        <v>7479</v>
      </c>
      <c r="S111" s="3" t="s">
        <v>209</v>
      </c>
      <c r="T111" s="3" t="s">
        <v>232</v>
      </c>
      <c r="U111" s="4" t="s">
        <v>917</v>
      </c>
      <c r="V111" s="1" t="s">
        <v>369</v>
      </c>
      <c r="W111" s="12">
        <v>68</v>
      </c>
      <c r="X111" s="9">
        <v>51682</v>
      </c>
      <c r="Y111" s="8">
        <v>15</v>
      </c>
      <c r="Z111" s="44">
        <v>0.4</v>
      </c>
      <c r="AA111" s="8">
        <v>100</v>
      </c>
      <c r="AB111" s="8">
        <v>5</v>
      </c>
      <c r="AC111" s="8">
        <v>62</v>
      </c>
      <c r="AD111" s="12">
        <v>25</v>
      </c>
      <c r="AE111" s="8">
        <v>1</v>
      </c>
      <c r="AF111" s="14">
        <v>2.8813559322033897</v>
      </c>
      <c r="AG111" s="8" t="s">
        <v>387</v>
      </c>
      <c r="AH111" s="15" t="s">
        <v>575</v>
      </c>
      <c r="AI111" s="15" t="s">
        <v>588</v>
      </c>
      <c r="AJ111" s="16">
        <v>261.55074111504126</v>
      </c>
      <c r="AK111" s="16">
        <v>12.48551456964797</v>
      </c>
      <c r="AL111" s="17">
        <f>(24894/B111)*100</f>
        <v>52.41283476503285</v>
      </c>
      <c r="AM111" s="43">
        <v>0.261074616809837</v>
      </c>
      <c r="AN111" s="43">
        <v>0.250547414519117</v>
      </c>
    </row>
    <row r="112" spans="1:40" ht="12">
      <c r="A112" s="7" t="s">
        <v>669</v>
      </c>
      <c r="B112" s="17">
        <v>18026</v>
      </c>
      <c r="C112" s="8" t="s">
        <v>563</v>
      </c>
      <c r="D112" s="9" t="s">
        <v>1062</v>
      </c>
      <c r="E112" s="10">
        <f t="shared" si="2"/>
        <v>10.409123823316438</v>
      </c>
      <c r="F112" s="9">
        <v>264250</v>
      </c>
      <c r="G112" s="9">
        <v>240950</v>
      </c>
      <c r="H112" s="10">
        <f t="shared" si="3"/>
        <v>9.670056028221623</v>
      </c>
      <c r="I112" s="11">
        <v>13.04</v>
      </c>
      <c r="J112" s="9">
        <v>50613</v>
      </c>
      <c r="K112" s="9">
        <v>348</v>
      </c>
      <c r="L112" s="9">
        <v>342</v>
      </c>
      <c r="M112" s="12">
        <v>36.3</v>
      </c>
      <c r="N112" s="12">
        <v>5.8</v>
      </c>
      <c r="O112" s="12">
        <v>1767</v>
      </c>
      <c r="P112" s="12">
        <v>21.54</v>
      </c>
      <c r="Q112" s="12" t="s">
        <v>1129</v>
      </c>
      <c r="R112" s="9">
        <v>6824</v>
      </c>
      <c r="S112" s="3" t="s">
        <v>210</v>
      </c>
      <c r="T112" s="3" t="s">
        <v>233</v>
      </c>
      <c r="U112" s="4" t="s">
        <v>894</v>
      </c>
      <c r="V112" s="1" t="s">
        <v>1104</v>
      </c>
      <c r="W112" s="12">
        <v>82</v>
      </c>
      <c r="X112" s="9">
        <v>54895</v>
      </c>
      <c r="Y112" s="8">
        <v>16</v>
      </c>
      <c r="Z112" s="44">
        <v>2.3</v>
      </c>
      <c r="AA112" s="8">
        <v>100</v>
      </c>
      <c r="AB112" s="8">
        <v>5</v>
      </c>
      <c r="AC112" s="8">
        <v>19</v>
      </c>
      <c r="AD112" s="12">
        <v>4.24</v>
      </c>
      <c r="AE112" s="8">
        <v>2</v>
      </c>
      <c r="AF112" s="14">
        <v>0.4</v>
      </c>
      <c r="AG112" s="8" t="s">
        <v>385</v>
      </c>
      <c r="AH112" s="15" t="s">
        <v>243</v>
      </c>
      <c r="AI112" s="15" t="s">
        <v>589</v>
      </c>
      <c r="AJ112" s="16">
        <v>267.029679352047</v>
      </c>
      <c r="AK112" s="16">
        <v>27.73050038832797</v>
      </c>
      <c r="AL112" s="17">
        <f>(11645/B112)*100</f>
        <v>64.6011316986575</v>
      </c>
      <c r="AM112" s="43">
        <v>0.244091867302785</v>
      </c>
      <c r="AN112" s="43">
        <v>0.238544324864085</v>
      </c>
    </row>
    <row r="113" spans="1:40" ht="12">
      <c r="A113" s="7" t="s">
        <v>670</v>
      </c>
      <c r="B113" s="17">
        <v>7816</v>
      </c>
      <c r="C113" s="8" t="s">
        <v>536</v>
      </c>
      <c r="D113" s="9" t="s">
        <v>977</v>
      </c>
      <c r="E113" s="10">
        <f t="shared" si="2"/>
        <v>12.82051282051282</v>
      </c>
      <c r="F113" s="9">
        <v>275000</v>
      </c>
      <c r="G113" s="9">
        <v>259000</v>
      </c>
      <c r="H113" s="10">
        <f t="shared" si="3"/>
        <v>6.177606177606178</v>
      </c>
      <c r="I113" s="11">
        <v>12.15</v>
      </c>
      <c r="J113" s="9">
        <v>50661</v>
      </c>
      <c r="K113" s="9">
        <v>536</v>
      </c>
      <c r="L113" s="9">
        <v>594</v>
      </c>
      <c r="M113" s="12">
        <v>44.9</v>
      </c>
      <c r="N113" s="12">
        <v>2.8</v>
      </c>
      <c r="O113" s="12">
        <v>1094</v>
      </c>
      <c r="P113" s="12">
        <v>39.52</v>
      </c>
      <c r="Q113" s="12">
        <v>71</v>
      </c>
      <c r="R113" s="9">
        <v>8290</v>
      </c>
      <c r="S113" s="3" t="s">
        <v>211</v>
      </c>
      <c r="T113" s="3" t="s">
        <v>234</v>
      </c>
      <c r="U113" s="4" t="s">
        <v>916</v>
      </c>
      <c r="V113" s="1" t="s">
        <v>1105</v>
      </c>
      <c r="W113" s="12">
        <v>80</v>
      </c>
      <c r="X113" s="9">
        <v>49811</v>
      </c>
      <c r="Y113" s="8">
        <v>12</v>
      </c>
      <c r="Z113" s="44">
        <v>0</v>
      </c>
      <c r="AA113" s="8">
        <v>100</v>
      </c>
      <c r="AB113" s="8">
        <v>4</v>
      </c>
      <c r="AC113" s="8">
        <v>12</v>
      </c>
      <c r="AD113" s="12">
        <v>28.53</v>
      </c>
      <c r="AE113" s="8">
        <v>0</v>
      </c>
      <c r="AF113" s="14">
        <v>0.9859154929577465</v>
      </c>
      <c r="AG113" s="8" t="s">
        <v>386</v>
      </c>
      <c r="AH113" s="15" t="s">
        <v>595</v>
      </c>
      <c r="AI113" s="15" t="s">
        <v>944</v>
      </c>
      <c r="AJ113" s="16">
        <v>168.10145854657114</v>
      </c>
      <c r="AK113" s="16">
        <v>67.56243602865916</v>
      </c>
      <c r="AL113" s="17">
        <f>(5762/B113)*100</f>
        <v>73.72057318321393</v>
      </c>
      <c r="AM113" s="43">
        <v>0.255885363357216</v>
      </c>
      <c r="AN113" s="43">
        <v>0.281473899692938</v>
      </c>
    </row>
    <row r="114" spans="1:40" ht="12">
      <c r="A114" s="7" t="s">
        <v>671</v>
      </c>
      <c r="B114" s="17">
        <v>5574</v>
      </c>
      <c r="C114" s="8" t="s">
        <v>537</v>
      </c>
      <c r="D114" s="9" t="s">
        <v>1063</v>
      </c>
      <c r="E114" s="10">
        <f t="shared" si="2"/>
        <v>-14.698795180722893</v>
      </c>
      <c r="F114" s="9">
        <v>210000</v>
      </c>
      <c r="G114" s="9">
        <v>266419</v>
      </c>
      <c r="H114" s="10">
        <f t="shared" si="3"/>
        <v>-21.176792946449012</v>
      </c>
      <c r="I114" s="11">
        <v>11.78</v>
      </c>
      <c r="J114" s="9">
        <v>62130</v>
      </c>
      <c r="K114" s="9" t="s">
        <v>1129</v>
      </c>
      <c r="L114" s="9" t="s">
        <v>1129</v>
      </c>
      <c r="M114" s="12">
        <v>37.7</v>
      </c>
      <c r="N114" s="12">
        <v>2.2</v>
      </c>
      <c r="O114" s="12">
        <v>294</v>
      </c>
      <c r="P114" s="12">
        <v>30.1</v>
      </c>
      <c r="Q114" s="12">
        <v>58</v>
      </c>
      <c r="R114" s="9">
        <v>6863</v>
      </c>
      <c r="S114" s="3" t="s">
        <v>184</v>
      </c>
      <c r="T114" s="3" t="s">
        <v>28</v>
      </c>
      <c r="U114" s="4" t="s">
        <v>914</v>
      </c>
      <c r="V114" s="8" t="s">
        <v>1089</v>
      </c>
      <c r="W114" s="12">
        <v>76</v>
      </c>
      <c r="X114" s="9">
        <v>52232</v>
      </c>
      <c r="Y114" s="8">
        <v>17</v>
      </c>
      <c r="Z114" s="44">
        <v>2.5</v>
      </c>
      <c r="AA114" s="8"/>
      <c r="AB114" s="8"/>
      <c r="AC114" s="8">
        <v>9</v>
      </c>
      <c r="AD114" s="12">
        <v>22.59</v>
      </c>
      <c r="AE114" s="8">
        <v>1</v>
      </c>
      <c r="AF114" s="14">
        <v>0.053475935828877004</v>
      </c>
      <c r="AG114" s="8" t="s">
        <v>386</v>
      </c>
      <c r="AH114" s="15" t="s">
        <v>595</v>
      </c>
      <c r="AI114" s="15" t="s">
        <v>1130</v>
      </c>
      <c r="AJ114" s="16">
        <v>215.69339791890923</v>
      </c>
      <c r="AK114" s="16">
        <v>24.481341944743452</v>
      </c>
      <c r="AL114" s="17">
        <f>(4163/B114)*100</f>
        <v>74.68604233943307</v>
      </c>
      <c r="AM114" s="43">
        <v>0.0897021887334051</v>
      </c>
      <c r="AN114" s="43">
        <v>0.251166128453534</v>
      </c>
    </row>
    <row r="115" spans="1:40" ht="12">
      <c r="A115" s="7" t="s">
        <v>672</v>
      </c>
      <c r="B115" s="17">
        <v>42149</v>
      </c>
      <c r="C115" s="8" t="s">
        <v>538</v>
      </c>
      <c r="D115" s="9" t="s">
        <v>361</v>
      </c>
      <c r="E115" s="10">
        <f t="shared" si="2"/>
        <v>4.754098360655737</v>
      </c>
      <c r="F115" s="9">
        <v>266000</v>
      </c>
      <c r="G115" s="9">
        <v>250000</v>
      </c>
      <c r="H115" s="10">
        <f t="shared" si="3"/>
        <v>6.4</v>
      </c>
      <c r="I115" s="11">
        <v>12.87</v>
      </c>
      <c r="J115" s="9">
        <v>44033</v>
      </c>
      <c r="K115" s="9">
        <v>266</v>
      </c>
      <c r="L115" s="9">
        <v>467</v>
      </c>
      <c r="M115" s="12">
        <v>36.4</v>
      </c>
      <c r="N115" s="12">
        <v>17.6</v>
      </c>
      <c r="O115" s="12">
        <v>4989</v>
      </c>
      <c r="P115" s="12">
        <v>14.84</v>
      </c>
      <c r="Q115" s="12">
        <v>33</v>
      </c>
      <c r="R115" s="9">
        <v>8362</v>
      </c>
      <c r="S115" s="3" t="s">
        <v>212</v>
      </c>
      <c r="T115" s="3" t="s">
        <v>235</v>
      </c>
      <c r="U115" s="4" t="s">
        <v>915</v>
      </c>
      <c r="V115" s="8" t="s">
        <v>1106</v>
      </c>
      <c r="W115" s="12">
        <v>82</v>
      </c>
      <c r="X115" s="9">
        <v>46618</v>
      </c>
      <c r="Y115" s="8">
        <v>12</v>
      </c>
      <c r="Z115" s="44">
        <v>3.7</v>
      </c>
      <c r="AA115" s="8">
        <v>80</v>
      </c>
      <c r="AB115" s="8">
        <v>7</v>
      </c>
      <c r="AC115" s="8">
        <v>82</v>
      </c>
      <c r="AD115" s="12">
        <v>14.6</v>
      </c>
      <c r="AE115" s="8">
        <v>7</v>
      </c>
      <c r="AF115" s="14">
        <v>0.617283950617284</v>
      </c>
      <c r="AG115" s="8" t="s">
        <v>386</v>
      </c>
      <c r="AH115" s="15" t="s">
        <v>604</v>
      </c>
      <c r="AI115" s="15" t="s">
        <v>590</v>
      </c>
      <c r="AJ115" s="16">
        <v>317.1597190917934</v>
      </c>
      <c r="AK115" s="16">
        <v>63.04341740017557</v>
      </c>
      <c r="AL115" s="17">
        <f>(26645/B115)*100</f>
        <v>63.216209162732206</v>
      </c>
      <c r="AM115" s="43">
        <v>0.218273268642198</v>
      </c>
      <c r="AN115" s="43">
        <v>0.249116230515552</v>
      </c>
    </row>
    <row r="116" spans="1:40" ht="12">
      <c r="A116" s="7" t="s">
        <v>673</v>
      </c>
      <c r="B116" s="17">
        <v>7955</v>
      </c>
      <c r="C116" s="8" t="s">
        <v>221</v>
      </c>
      <c r="D116" s="9" t="s">
        <v>615</v>
      </c>
      <c r="E116" s="10">
        <f t="shared" si="2"/>
        <v>11.11111111111111</v>
      </c>
      <c r="F116" s="9">
        <v>229900</v>
      </c>
      <c r="G116" s="9">
        <v>263000</v>
      </c>
      <c r="H116" s="10">
        <f t="shared" si="3"/>
        <v>-12.585551330798477</v>
      </c>
      <c r="I116" s="11">
        <v>10.68</v>
      </c>
      <c r="J116" s="9">
        <v>49310</v>
      </c>
      <c r="K116" s="9">
        <v>638</v>
      </c>
      <c r="L116" s="9">
        <v>240</v>
      </c>
      <c r="M116" s="12">
        <v>38.8</v>
      </c>
      <c r="N116" s="12">
        <v>3.2</v>
      </c>
      <c r="O116" s="12">
        <v>508</v>
      </c>
      <c r="P116" s="12">
        <v>40.59</v>
      </c>
      <c r="Q116" s="12" t="s">
        <v>1129</v>
      </c>
      <c r="R116" s="9">
        <v>6863</v>
      </c>
      <c r="S116" s="3" t="s">
        <v>184</v>
      </c>
      <c r="T116" s="3" t="s">
        <v>28</v>
      </c>
      <c r="U116" s="4" t="s">
        <v>914</v>
      </c>
      <c r="V116" s="8" t="s">
        <v>1089</v>
      </c>
      <c r="W116" s="12">
        <v>76</v>
      </c>
      <c r="X116" s="9">
        <v>52232</v>
      </c>
      <c r="Y116" s="8">
        <v>17</v>
      </c>
      <c r="Z116" s="44">
        <v>2.5</v>
      </c>
      <c r="AA116" s="8">
        <v>100</v>
      </c>
      <c r="AB116" s="8">
        <v>3</v>
      </c>
      <c r="AC116" s="8">
        <v>9</v>
      </c>
      <c r="AD116" s="12">
        <v>12.97</v>
      </c>
      <c r="AE116" s="8">
        <v>0</v>
      </c>
      <c r="AF116" s="14">
        <v>0.5194805194805194</v>
      </c>
      <c r="AG116" s="8" t="s">
        <v>386</v>
      </c>
      <c r="AH116" s="15" t="s">
        <v>244</v>
      </c>
      <c r="AI116" s="15" t="s">
        <v>591</v>
      </c>
      <c r="AJ116" s="16">
        <v>289.44374607165304</v>
      </c>
      <c r="AK116" s="16">
        <v>12.240603394091766</v>
      </c>
      <c r="AL116" s="17">
        <f>(5387/B116)*100</f>
        <v>67.71841609050911</v>
      </c>
      <c r="AM116" s="43">
        <v>0.175989943431804</v>
      </c>
      <c r="AN116" s="43">
        <v>0.238843494657448</v>
      </c>
    </row>
    <row r="117" spans="1:40" ht="12">
      <c r="A117" s="7" t="s">
        <v>674</v>
      </c>
      <c r="B117" s="17">
        <v>26415</v>
      </c>
      <c r="C117" s="8" t="s">
        <v>477</v>
      </c>
      <c r="D117" s="9" t="s">
        <v>447</v>
      </c>
      <c r="E117" s="10">
        <f t="shared" si="2"/>
        <v>7.8125</v>
      </c>
      <c r="F117" s="9">
        <v>289000</v>
      </c>
      <c r="G117" s="9">
        <v>275000</v>
      </c>
      <c r="H117" s="10">
        <f t="shared" si="3"/>
        <v>5.090909090909091</v>
      </c>
      <c r="I117" s="11">
        <v>9.53</v>
      </c>
      <c r="J117" s="9">
        <v>55301</v>
      </c>
      <c r="K117" s="9">
        <v>325.8</v>
      </c>
      <c r="L117" s="9">
        <v>273.96</v>
      </c>
      <c r="M117" s="12">
        <v>41.3</v>
      </c>
      <c r="N117" s="12">
        <v>3.3</v>
      </c>
      <c r="O117" s="12">
        <v>2371</v>
      </c>
      <c r="P117" s="12">
        <v>10.94</v>
      </c>
      <c r="Q117" s="12" t="s">
        <v>1129</v>
      </c>
      <c r="R117" s="9">
        <v>8020</v>
      </c>
      <c r="S117" s="3" t="s">
        <v>213</v>
      </c>
      <c r="T117" s="3" t="s">
        <v>236</v>
      </c>
      <c r="U117" s="4" t="s">
        <v>913</v>
      </c>
      <c r="V117" s="8" t="s">
        <v>1107</v>
      </c>
      <c r="W117" s="12">
        <v>71</v>
      </c>
      <c r="X117" s="9">
        <v>53149</v>
      </c>
      <c r="Y117" s="8">
        <v>15</v>
      </c>
      <c r="Z117" s="44">
        <v>2.5</v>
      </c>
      <c r="AA117" s="8">
        <v>80</v>
      </c>
      <c r="AB117" s="8">
        <v>5</v>
      </c>
      <c r="AC117" s="8">
        <v>17</v>
      </c>
      <c r="AD117" s="12">
        <v>25.35</v>
      </c>
      <c r="AE117" s="8">
        <v>1</v>
      </c>
      <c r="AF117" s="14">
        <v>0.45454545454545453</v>
      </c>
      <c r="AG117" s="8" t="s">
        <v>386</v>
      </c>
      <c r="AH117" s="15" t="s">
        <v>245</v>
      </c>
      <c r="AI117" s="15" t="s">
        <v>592</v>
      </c>
      <c r="AJ117" s="16">
        <v>264.13261404505016</v>
      </c>
      <c r="AK117" s="16">
        <v>27.08559530569752</v>
      </c>
      <c r="AL117" s="17">
        <f>(17890/B117)*100</f>
        <v>67.72667045239447</v>
      </c>
      <c r="AM117" s="43">
        <v>0.268786674238122</v>
      </c>
      <c r="AN117" s="43">
        <v>0.280143857656634</v>
      </c>
    </row>
    <row r="118" spans="1:40" ht="12">
      <c r="A118" s="7" t="s">
        <v>675</v>
      </c>
      <c r="B118" s="17">
        <v>18152</v>
      </c>
      <c r="C118" s="8" t="s">
        <v>222</v>
      </c>
      <c r="D118" s="9" t="s">
        <v>1064</v>
      </c>
      <c r="E118" s="10">
        <f t="shared" si="2"/>
        <v>2.711864406779661</v>
      </c>
      <c r="F118" s="9">
        <v>480000</v>
      </c>
      <c r="G118" s="9">
        <v>426238</v>
      </c>
      <c r="H118" s="10">
        <f t="shared" si="3"/>
        <v>12.613141015113621</v>
      </c>
      <c r="I118" s="11">
        <v>9.38</v>
      </c>
      <c r="J118" s="9">
        <v>70868</v>
      </c>
      <c r="K118" s="9">
        <v>305</v>
      </c>
      <c r="L118" s="9">
        <v>404</v>
      </c>
      <c r="M118" s="12">
        <v>40.7</v>
      </c>
      <c r="N118" s="12">
        <v>3.8</v>
      </c>
      <c r="O118" s="12">
        <v>1039</v>
      </c>
      <c r="P118" s="12">
        <v>30.16</v>
      </c>
      <c r="Q118" s="12" t="s">
        <v>1129</v>
      </c>
      <c r="R118" s="9">
        <v>7356</v>
      </c>
      <c r="S118" s="3" t="s">
        <v>214</v>
      </c>
      <c r="T118" s="3" t="s">
        <v>237</v>
      </c>
      <c r="U118" s="4" t="s">
        <v>912</v>
      </c>
      <c r="V118" s="8" t="s">
        <v>370</v>
      </c>
      <c r="W118" s="12">
        <v>85</v>
      </c>
      <c r="X118" s="9">
        <v>51889</v>
      </c>
      <c r="Y118" s="8">
        <v>14</v>
      </c>
      <c r="Z118" s="44">
        <v>1.2</v>
      </c>
      <c r="AA118" s="8">
        <v>100</v>
      </c>
      <c r="AB118" s="8">
        <v>6</v>
      </c>
      <c r="AC118" s="8">
        <v>22</v>
      </c>
      <c r="AD118" s="12">
        <v>18.95</v>
      </c>
      <c r="AE118" s="8">
        <v>0</v>
      </c>
      <c r="AF118" s="14">
        <v>0.11627906976744186</v>
      </c>
      <c r="AG118" s="8" t="s">
        <v>385</v>
      </c>
      <c r="AH118" s="15" t="s">
        <v>564</v>
      </c>
      <c r="AI118" s="15" t="s">
        <v>1073</v>
      </c>
      <c r="AJ118" s="16">
        <v>295.51338695460555</v>
      </c>
      <c r="AK118" s="16">
        <v>41.359850154252975</v>
      </c>
      <c r="AL118" s="17">
        <f>(14323/B118)*100</f>
        <v>78.90590568532393</v>
      </c>
      <c r="AM118" s="43">
        <v>0.203834288232702</v>
      </c>
      <c r="AN118" s="43">
        <v>0.203834288232702</v>
      </c>
    </row>
    <row r="119" spans="1:40" ht="12">
      <c r="A119" s="7" t="s">
        <v>676</v>
      </c>
      <c r="B119" s="17">
        <v>17536</v>
      </c>
      <c r="C119" s="8" t="s">
        <v>223</v>
      </c>
      <c r="D119" s="9" t="s">
        <v>1065</v>
      </c>
      <c r="E119" s="10">
        <f t="shared" si="2"/>
        <v>5.590062111801243</v>
      </c>
      <c r="F119" s="9">
        <v>380000</v>
      </c>
      <c r="G119" s="9">
        <v>408750</v>
      </c>
      <c r="H119" s="10">
        <f t="shared" si="3"/>
        <v>-7.033639143730887</v>
      </c>
      <c r="I119" s="11">
        <v>19.46</v>
      </c>
      <c r="J119" s="9">
        <v>89256</v>
      </c>
      <c r="K119" s="9">
        <v>270</v>
      </c>
      <c r="L119" s="9" t="s">
        <v>1129</v>
      </c>
      <c r="M119" s="12">
        <v>39.9</v>
      </c>
      <c r="N119" s="12">
        <v>10.7</v>
      </c>
      <c r="O119" s="12">
        <v>747</v>
      </c>
      <c r="P119" s="12">
        <v>24.7</v>
      </c>
      <c r="Q119" s="12">
        <v>36</v>
      </c>
      <c r="R119" s="9">
        <v>7783</v>
      </c>
      <c r="S119" s="3" t="s">
        <v>215</v>
      </c>
      <c r="T119" s="3" t="s">
        <v>238</v>
      </c>
      <c r="U119" s="4" t="s">
        <v>912</v>
      </c>
      <c r="V119" s="1" t="s">
        <v>1108</v>
      </c>
      <c r="W119" s="12">
        <v>95</v>
      </c>
      <c r="X119" s="9">
        <v>50600</v>
      </c>
      <c r="Y119" s="8">
        <v>11</v>
      </c>
      <c r="Z119" s="44">
        <v>0</v>
      </c>
      <c r="AA119" s="8">
        <v>100</v>
      </c>
      <c r="AB119" s="8">
        <v>8</v>
      </c>
      <c r="AC119" s="8">
        <v>36</v>
      </c>
      <c r="AD119" s="12">
        <v>29.19</v>
      </c>
      <c r="AE119" s="8">
        <v>1</v>
      </c>
      <c r="AF119" s="14">
        <v>0.08583690987124463</v>
      </c>
      <c r="AG119" s="8" t="s">
        <v>385</v>
      </c>
      <c r="AH119" s="15" t="s">
        <v>246</v>
      </c>
      <c r="AI119" s="15" t="s">
        <v>1160</v>
      </c>
      <c r="AJ119" s="16">
        <v>197.55662636861314</v>
      </c>
      <c r="AK119" s="16">
        <v>55.36017335766423</v>
      </c>
      <c r="AL119" s="17">
        <f>(12229/B119)*100</f>
        <v>69.73654197080292</v>
      </c>
      <c r="AM119" s="43">
        <v>0.193886861313869</v>
      </c>
      <c r="AN119" s="43">
        <v>0.142563868613139</v>
      </c>
    </row>
    <row r="120" spans="1:40" ht="12">
      <c r="A120" s="7" t="s">
        <v>677</v>
      </c>
      <c r="B120" s="17">
        <v>4222</v>
      </c>
      <c r="C120" s="8" t="s">
        <v>224</v>
      </c>
      <c r="D120" s="9" t="s">
        <v>1066</v>
      </c>
      <c r="E120" s="10">
        <f t="shared" si="2"/>
        <v>6.531204644412192</v>
      </c>
      <c r="F120" s="9" t="s">
        <v>1129</v>
      </c>
      <c r="G120" s="9">
        <v>305000</v>
      </c>
      <c r="H120" s="10" t="s">
        <v>1129</v>
      </c>
      <c r="I120" s="11">
        <v>14.51</v>
      </c>
      <c r="J120" s="9">
        <v>121693</v>
      </c>
      <c r="K120" s="9" t="s">
        <v>1129</v>
      </c>
      <c r="L120" s="9" t="s">
        <v>1129</v>
      </c>
      <c r="M120" s="12">
        <v>41.1</v>
      </c>
      <c r="N120" s="12">
        <v>4.4</v>
      </c>
      <c r="O120" s="12">
        <v>263</v>
      </c>
      <c r="P120" s="12">
        <v>24.38</v>
      </c>
      <c r="Q120" s="12" t="s">
        <v>1129</v>
      </c>
      <c r="R120" s="2">
        <v>12275</v>
      </c>
      <c r="S120" s="3" t="s">
        <v>216</v>
      </c>
      <c r="T120" s="3" t="s">
        <v>74</v>
      </c>
      <c r="U120" s="4" t="s">
        <v>911</v>
      </c>
      <c r="V120" s="1" t="s">
        <v>800</v>
      </c>
      <c r="W120" s="12">
        <v>98</v>
      </c>
      <c r="X120" s="2">
        <v>55874</v>
      </c>
      <c r="Y120" s="8">
        <v>11</v>
      </c>
      <c r="Z120" s="44">
        <v>0</v>
      </c>
      <c r="AA120" s="8">
        <v>100</v>
      </c>
      <c r="AB120" s="8">
        <v>2</v>
      </c>
      <c r="AC120" s="8">
        <v>3</v>
      </c>
      <c r="AD120" s="12">
        <v>14.15</v>
      </c>
      <c r="AE120" s="8">
        <v>0</v>
      </c>
      <c r="AF120" s="14">
        <v>0.25</v>
      </c>
      <c r="AG120" s="8" t="s">
        <v>386</v>
      </c>
      <c r="AH120" s="15" t="s">
        <v>937</v>
      </c>
      <c r="AI120" s="15" t="s">
        <v>1134</v>
      </c>
      <c r="AJ120" s="16">
        <v>283.702747513027</v>
      </c>
      <c r="AK120" s="16">
        <v>98.94220748460445</v>
      </c>
      <c r="AL120" s="17">
        <f>(3011/B120)*100</f>
        <v>71.31691141639034</v>
      </c>
      <c r="AM120" s="43">
        <v>0.189483657034581</v>
      </c>
      <c r="AN120" s="43">
        <v>0.0236854571293226</v>
      </c>
    </row>
    <row r="121" spans="1:40" ht="12">
      <c r="A121" s="7" t="s">
        <v>678</v>
      </c>
      <c r="B121" s="17">
        <v>32751</v>
      </c>
      <c r="C121" s="8" t="s">
        <v>483</v>
      </c>
      <c r="D121" s="9" t="s">
        <v>1067</v>
      </c>
      <c r="E121" s="10">
        <f t="shared" si="2"/>
        <v>1.9695488196675512</v>
      </c>
      <c r="F121" s="9">
        <v>161900</v>
      </c>
      <c r="G121" s="9">
        <v>166825</v>
      </c>
      <c r="H121" s="10">
        <f t="shared" si="3"/>
        <v>-2.9521954143563613</v>
      </c>
      <c r="I121" s="11">
        <v>10.6</v>
      </c>
      <c r="J121" s="9">
        <v>64237</v>
      </c>
      <c r="K121" s="9">
        <v>235</v>
      </c>
      <c r="L121" s="9" t="s">
        <v>1129</v>
      </c>
      <c r="M121" s="12">
        <v>37.6</v>
      </c>
      <c r="N121" s="12">
        <v>11.9</v>
      </c>
      <c r="O121" s="12">
        <v>1529</v>
      </c>
      <c r="P121" s="12">
        <v>40</v>
      </c>
      <c r="Q121" s="12" t="s">
        <v>1129</v>
      </c>
      <c r="R121" s="9">
        <v>6875</v>
      </c>
      <c r="S121" s="3" t="s">
        <v>217</v>
      </c>
      <c r="T121" s="3" t="s">
        <v>239</v>
      </c>
      <c r="U121" s="4" t="s">
        <v>910</v>
      </c>
      <c r="V121" s="1" t="s">
        <v>786</v>
      </c>
      <c r="W121" s="12">
        <v>85</v>
      </c>
      <c r="X121" s="9">
        <v>51444</v>
      </c>
      <c r="Y121" s="8">
        <v>16</v>
      </c>
      <c r="Z121" s="44">
        <v>1.1</v>
      </c>
      <c r="AA121" s="8">
        <v>100</v>
      </c>
      <c r="AB121" s="8">
        <v>4</v>
      </c>
      <c r="AC121" s="8">
        <v>46</v>
      </c>
      <c r="AD121" s="12">
        <v>7.58</v>
      </c>
      <c r="AE121" s="8">
        <v>2</v>
      </c>
      <c r="AF121" s="14">
        <v>0.2898550724637681</v>
      </c>
      <c r="AG121" s="8" t="s">
        <v>386</v>
      </c>
      <c r="AH121" s="15" t="s">
        <v>247</v>
      </c>
      <c r="AI121" s="15" t="s">
        <v>1074</v>
      </c>
      <c r="AJ121" s="16">
        <v>146.98439742297944</v>
      </c>
      <c r="AK121" s="16">
        <v>45.09563066776587</v>
      </c>
      <c r="AL121" s="17">
        <f>(21297/B121)*100</f>
        <v>65.0270220756618</v>
      </c>
      <c r="AM121" s="43">
        <v>0.174040487313364</v>
      </c>
      <c r="AN121" s="43">
        <v>0.207627248022961</v>
      </c>
    </row>
    <row r="122" spans="1:40" ht="12">
      <c r="A122" s="7" t="s">
        <v>679</v>
      </c>
      <c r="B122" s="17">
        <v>76922</v>
      </c>
      <c r="C122" s="8" t="s">
        <v>225</v>
      </c>
      <c r="D122" s="9" t="s">
        <v>593</v>
      </c>
      <c r="E122" s="10">
        <f t="shared" si="2"/>
        <v>5.833333333333333</v>
      </c>
      <c r="F122" s="9">
        <v>322750</v>
      </c>
      <c r="G122" s="9">
        <v>327250</v>
      </c>
      <c r="H122" s="10">
        <f t="shared" si="3"/>
        <v>-1.3750954927425516</v>
      </c>
      <c r="I122" s="11">
        <v>12.46</v>
      </c>
      <c r="J122" s="9">
        <v>46315</v>
      </c>
      <c r="K122" s="9">
        <v>335.6</v>
      </c>
      <c r="L122" s="9">
        <v>612.4</v>
      </c>
      <c r="M122" s="12">
        <v>31.1</v>
      </c>
      <c r="N122" s="12">
        <v>27.3</v>
      </c>
      <c r="O122" s="12">
        <v>18897</v>
      </c>
      <c r="P122" s="12">
        <v>3.3</v>
      </c>
      <c r="Q122" s="12">
        <v>20</v>
      </c>
      <c r="R122" s="9">
        <v>11118</v>
      </c>
      <c r="S122" s="3" t="s">
        <v>218</v>
      </c>
      <c r="T122" s="3" t="s">
        <v>240</v>
      </c>
      <c r="U122" s="4" t="s">
        <v>909</v>
      </c>
      <c r="V122" s="1" t="s">
        <v>787</v>
      </c>
      <c r="W122" s="12" t="s">
        <v>1129</v>
      </c>
      <c r="X122" s="9">
        <v>55413</v>
      </c>
      <c r="Y122" s="8">
        <v>13</v>
      </c>
      <c r="Z122" s="44">
        <v>0.6</v>
      </c>
      <c r="AA122" s="8">
        <v>90</v>
      </c>
      <c r="AB122" s="8">
        <v>3</v>
      </c>
      <c r="AC122" s="8">
        <v>61</v>
      </c>
      <c r="AD122" s="12">
        <v>4.5</v>
      </c>
      <c r="AE122" s="8">
        <v>0</v>
      </c>
      <c r="AF122" s="14">
        <v>9.26829268292683</v>
      </c>
      <c r="AG122" s="8" t="s">
        <v>386</v>
      </c>
      <c r="AH122" s="15" t="s">
        <v>248</v>
      </c>
      <c r="AI122" s="15" t="s">
        <v>1075</v>
      </c>
      <c r="AJ122" s="16">
        <v>288.39215049010687</v>
      </c>
      <c r="AK122" s="16">
        <v>33.63543589610254</v>
      </c>
      <c r="AL122" s="17">
        <f>(43194/B122)*100</f>
        <v>56.15298614180598</v>
      </c>
      <c r="AM122" s="43">
        <v>0.185902602636437</v>
      </c>
      <c r="AN122" s="43">
        <v>0.202802839239749</v>
      </c>
    </row>
    <row r="123" spans="1:40" ht="12">
      <c r="A123" s="7" t="s">
        <v>680</v>
      </c>
      <c r="B123" s="17">
        <v>9202</v>
      </c>
      <c r="C123" s="8" t="s">
        <v>226</v>
      </c>
      <c r="D123" s="9" t="s">
        <v>1068</v>
      </c>
      <c r="E123" s="10">
        <f t="shared" si="2"/>
        <v>-2.587064676616915</v>
      </c>
      <c r="F123" s="9">
        <v>630600</v>
      </c>
      <c r="G123" s="9">
        <v>545050</v>
      </c>
      <c r="H123" s="10">
        <f t="shared" si="3"/>
        <v>15.695807724062014</v>
      </c>
      <c r="I123" s="11">
        <v>12.24</v>
      </c>
      <c r="J123" s="9">
        <v>102986</v>
      </c>
      <c r="K123" s="9" t="s">
        <v>1129</v>
      </c>
      <c r="L123" s="9" t="s">
        <v>1129</v>
      </c>
      <c r="M123" s="12">
        <v>36.9</v>
      </c>
      <c r="N123" s="12">
        <v>6.5</v>
      </c>
      <c r="O123" s="12">
        <v>623</v>
      </c>
      <c r="P123" s="12">
        <v>27.21</v>
      </c>
      <c r="Q123" s="12">
        <v>49</v>
      </c>
      <c r="R123" s="2">
        <v>9175</v>
      </c>
      <c r="S123" s="3" t="s">
        <v>219</v>
      </c>
      <c r="T123" s="3" t="s">
        <v>241</v>
      </c>
      <c r="U123" s="4" t="s">
        <v>899</v>
      </c>
      <c r="V123" s="1" t="s">
        <v>1096</v>
      </c>
      <c r="W123" s="12">
        <v>94</v>
      </c>
      <c r="X123" s="2">
        <v>53967</v>
      </c>
      <c r="Y123" s="8">
        <v>16</v>
      </c>
      <c r="Z123" s="44">
        <v>0.8</v>
      </c>
      <c r="AA123" s="8">
        <v>100</v>
      </c>
      <c r="AB123" s="8">
        <v>4</v>
      </c>
      <c r="AC123" s="8">
        <v>20</v>
      </c>
      <c r="AD123" s="12">
        <v>28.99</v>
      </c>
      <c r="AE123" s="8">
        <v>0</v>
      </c>
      <c r="AF123" s="14">
        <v>0</v>
      </c>
      <c r="AG123" s="8" t="s">
        <v>386</v>
      </c>
      <c r="AH123" s="15" t="s">
        <v>948</v>
      </c>
      <c r="AI123" s="15" t="s">
        <v>574</v>
      </c>
      <c r="AJ123" s="16">
        <v>254.55868289502283</v>
      </c>
      <c r="AK123" s="16">
        <v>49.85503151488807</v>
      </c>
      <c r="AL123" s="17">
        <f>(6299/B123)*100</f>
        <v>68.45251032384265</v>
      </c>
      <c r="AM123" s="43">
        <v>0.163008041730059</v>
      </c>
      <c r="AN123" s="43">
        <v>0.119539230602043</v>
      </c>
    </row>
    <row r="124" spans="1:40" ht="12">
      <c r="A124" s="7" t="s">
        <v>681</v>
      </c>
      <c r="B124" s="17">
        <v>22165</v>
      </c>
      <c r="C124" s="8" t="s">
        <v>227</v>
      </c>
      <c r="D124" s="9" t="s">
        <v>479</v>
      </c>
      <c r="E124" s="10">
        <f t="shared" si="2"/>
        <v>6.216216216216217</v>
      </c>
      <c r="F124" s="9">
        <v>237500</v>
      </c>
      <c r="G124" s="9">
        <v>229900</v>
      </c>
      <c r="H124" s="10">
        <f t="shared" si="3"/>
        <v>3.3057851239669422</v>
      </c>
      <c r="I124" s="11">
        <v>11.7</v>
      </c>
      <c r="J124" s="9">
        <v>56605</v>
      </c>
      <c r="K124" s="9">
        <v>330</v>
      </c>
      <c r="L124" s="9">
        <v>750</v>
      </c>
      <c r="M124" s="12">
        <v>40.6</v>
      </c>
      <c r="N124" s="12">
        <v>6</v>
      </c>
      <c r="O124" s="12">
        <v>3643</v>
      </c>
      <c r="P124" s="12">
        <v>9.71</v>
      </c>
      <c r="Q124" s="12" t="s">
        <v>1129</v>
      </c>
      <c r="R124" s="9">
        <v>8043</v>
      </c>
      <c r="S124" s="3" t="s">
        <v>220</v>
      </c>
      <c r="T124" s="3" t="s">
        <v>242</v>
      </c>
      <c r="U124" s="4" t="s">
        <v>908</v>
      </c>
      <c r="V124" s="1" t="s">
        <v>788</v>
      </c>
      <c r="W124" s="12">
        <v>76</v>
      </c>
      <c r="X124" s="9">
        <v>49476</v>
      </c>
      <c r="Y124" s="8">
        <v>15</v>
      </c>
      <c r="Z124" s="44">
        <v>0.5</v>
      </c>
      <c r="AA124" s="8">
        <v>100</v>
      </c>
      <c r="AB124" s="8">
        <v>5</v>
      </c>
      <c r="AC124" s="8">
        <v>27</v>
      </c>
      <c r="AD124" s="12">
        <v>30.46</v>
      </c>
      <c r="AE124" s="8">
        <v>0</v>
      </c>
      <c r="AF124" s="14">
        <v>0.819672131147541</v>
      </c>
      <c r="AG124" s="8" t="s">
        <v>386</v>
      </c>
      <c r="AH124" s="15" t="s">
        <v>1130</v>
      </c>
      <c r="AI124" s="15" t="s">
        <v>433</v>
      </c>
      <c r="AJ124" s="16">
        <v>271.9528535980149</v>
      </c>
      <c r="AK124" s="16">
        <v>74.73530340627114</v>
      </c>
      <c r="AL124" s="17">
        <f>(14528/B124)*100</f>
        <v>65.54477780284232</v>
      </c>
      <c r="AM124" s="43">
        <v>0.27972027972028</v>
      </c>
      <c r="AN124" s="43">
        <v>0.329348071283555</v>
      </c>
    </row>
    <row r="125" spans="1:40" ht="12">
      <c r="A125" s="7" t="s">
        <v>682</v>
      </c>
      <c r="B125" s="17">
        <v>27227</v>
      </c>
      <c r="C125" s="8" t="s">
        <v>545</v>
      </c>
      <c r="D125" s="9" t="s">
        <v>976</v>
      </c>
      <c r="E125" s="10">
        <f t="shared" si="2"/>
        <v>7.904761904761905</v>
      </c>
      <c r="F125" s="9">
        <v>250000</v>
      </c>
      <c r="G125" s="9">
        <v>237500</v>
      </c>
      <c r="H125" s="10">
        <f t="shared" si="3"/>
        <v>5.263157894736842</v>
      </c>
      <c r="I125" s="11">
        <v>12.77</v>
      </c>
      <c r="J125" s="9">
        <v>57838</v>
      </c>
      <c r="K125" s="9">
        <v>398.32</v>
      </c>
      <c r="L125" s="9">
        <v>760.8</v>
      </c>
      <c r="M125" s="12">
        <v>39.2</v>
      </c>
      <c r="N125" s="12">
        <v>12.5</v>
      </c>
      <c r="O125" s="12">
        <v>1697</v>
      </c>
      <c r="P125" s="12">
        <v>19.93</v>
      </c>
      <c r="Q125" s="12">
        <v>36</v>
      </c>
      <c r="R125" s="9">
        <v>7437</v>
      </c>
      <c r="S125" s="3" t="s">
        <v>96</v>
      </c>
      <c r="T125" s="3" t="s">
        <v>155</v>
      </c>
      <c r="U125" s="4" t="s">
        <v>907</v>
      </c>
      <c r="V125" s="8" t="s">
        <v>1111</v>
      </c>
      <c r="W125" s="12">
        <v>81</v>
      </c>
      <c r="X125" s="9">
        <v>52891</v>
      </c>
      <c r="Y125" s="8">
        <v>15</v>
      </c>
      <c r="Z125" s="44">
        <v>2.7</v>
      </c>
      <c r="AA125" s="8">
        <v>100</v>
      </c>
      <c r="AB125" s="8">
        <v>3</v>
      </c>
      <c r="AC125" s="8">
        <v>37</v>
      </c>
      <c r="AD125" s="12">
        <v>17.65</v>
      </c>
      <c r="AE125" s="8">
        <v>0</v>
      </c>
      <c r="AF125" s="14">
        <v>0.6875</v>
      </c>
      <c r="AG125" s="8" t="s">
        <v>385</v>
      </c>
      <c r="AH125" s="15" t="s">
        <v>249</v>
      </c>
      <c r="AI125" s="15" t="s">
        <v>1076</v>
      </c>
      <c r="AJ125" s="16">
        <v>257.16858265692144</v>
      </c>
      <c r="AK125" s="16">
        <v>35.428875748338044</v>
      </c>
      <c r="AL125" s="17">
        <f>(19241/B125)*100</f>
        <v>70.66882139053146</v>
      </c>
      <c r="AM125" s="43">
        <v>0.220369486171815</v>
      </c>
      <c r="AN125" s="43">
        <v>0.205678187093694</v>
      </c>
    </row>
    <row r="126" spans="1:40" ht="12">
      <c r="A126" s="7" t="s">
        <v>683</v>
      </c>
      <c r="B126" s="17">
        <v>6084</v>
      </c>
      <c r="C126" s="8" t="s">
        <v>649</v>
      </c>
      <c r="D126" s="9" t="s">
        <v>1069</v>
      </c>
      <c r="E126" s="10">
        <f t="shared" si="2"/>
        <v>4.6706586826347305</v>
      </c>
      <c r="F126" s="9">
        <v>325000</v>
      </c>
      <c r="G126" s="9">
        <v>227900</v>
      </c>
      <c r="H126" s="10">
        <f t="shared" si="3"/>
        <v>42.60640631856077</v>
      </c>
      <c r="I126" s="11">
        <v>14.48</v>
      </c>
      <c r="J126" s="9">
        <v>96290</v>
      </c>
      <c r="K126" s="9">
        <v>301</v>
      </c>
      <c r="L126" s="9" t="s">
        <v>1129</v>
      </c>
      <c r="M126" s="12">
        <v>38.8</v>
      </c>
      <c r="N126" s="12">
        <v>5.3</v>
      </c>
      <c r="O126" s="12">
        <v>335</v>
      </c>
      <c r="P126" s="12">
        <v>29.89</v>
      </c>
      <c r="Q126" s="12" t="s">
        <v>1129</v>
      </c>
      <c r="R126" s="9">
        <v>8616</v>
      </c>
      <c r="S126" s="3" t="s">
        <v>9</v>
      </c>
      <c r="T126" s="3" t="s">
        <v>55</v>
      </c>
      <c r="U126" s="4" t="s">
        <v>1035</v>
      </c>
      <c r="V126" s="1" t="s">
        <v>1112</v>
      </c>
      <c r="W126" s="12">
        <v>91</v>
      </c>
      <c r="X126" s="9">
        <v>52307</v>
      </c>
      <c r="Y126" s="8">
        <v>14</v>
      </c>
      <c r="Z126" s="44">
        <v>1.2</v>
      </c>
      <c r="AA126" s="8">
        <v>100</v>
      </c>
      <c r="AB126" s="8">
        <v>3</v>
      </c>
      <c r="AC126" s="8">
        <v>8</v>
      </c>
      <c r="AD126" s="12">
        <v>12.54</v>
      </c>
      <c r="AE126" s="8">
        <v>0</v>
      </c>
      <c r="AF126" s="14">
        <v>0.17045454545454544</v>
      </c>
      <c r="AG126" s="8" t="s">
        <v>386</v>
      </c>
      <c r="AH126" s="15" t="s">
        <v>942</v>
      </c>
      <c r="AI126" s="15" t="s">
        <v>1141</v>
      </c>
      <c r="AJ126" s="16">
        <v>222.17702169625247</v>
      </c>
      <c r="AK126" s="16">
        <v>33.60322156476003</v>
      </c>
      <c r="AL126" s="17">
        <f>(4467/B126)*100</f>
        <v>73.42209072978304</v>
      </c>
      <c r="AM126" s="43">
        <v>0.213675213675214</v>
      </c>
      <c r="AN126" s="43">
        <v>0.0821827744904668</v>
      </c>
    </row>
    <row r="127" spans="1:40" ht="12">
      <c r="A127" s="7" t="s">
        <v>684</v>
      </c>
      <c r="B127" s="17">
        <v>17259</v>
      </c>
      <c r="C127" s="8" t="s">
        <v>650</v>
      </c>
      <c r="D127" s="9" t="s">
        <v>1070</v>
      </c>
      <c r="E127" s="10">
        <f t="shared" si="2"/>
        <v>7.484008528784648</v>
      </c>
      <c r="F127" s="9">
        <v>379900</v>
      </c>
      <c r="G127" s="9">
        <v>195000</v>
      </c>
      <c r="H127" s="10">
        <f t="shared" si="3"/>
        <v>94.82051282051283</v>
      </c>
      <c r="I127" s="11">
        <v>16.78</v>
      </c>
      <c r="J127" s="9">
        <v>118579</v>
      </c>
      <c r="K127" s="9">
        <v>200</v>
      </c>
      <c r="L127" s="9" t="s">
        <v>1129</v>
      </c>
      <c r="M127" s="12">
        <v>38.8</v>
      </c>
      <c r="N127" s="12">
        <v>6.7</v>
      </c>
      <c r="O127" s="12">
        <v>690</v>
      </c>
      <c r="P127" s="12">
        <v>21.13</v>
      </c>
      <c r="Q127" s="12" t="s">
        <v>1129</v>
      </c>
      <c r="R127" s="2">
        <v>11480</v>
      </c>
      <c r="S127" s="3" t="s">
        <v>97</v>
      </c>
      <c r="T127" s="3" t="s">
        <v>156</v>
      </c>
      <c r="U127" s="4" t="s">
        <v>1031</v>
      </c>
      <c r="V127" s="8" t="s">
        <v>1009</v>
      </c>
      <c r="W127" s="12">
        <v>93</v>
      </c>
      <c r="X127" s="2">
        <v>58511</v>
      </c>
      <c r="Y127" s="8">
        <v>11</v>
      </c>
      <c r="Z127" s="44">
        <v>0</v>
      </c>
      <c r="AA127" s="8">
        <v>10</v>
      </c>
      <c r="AB127" s="8">
        <v>5</v>
      </c>
      <c r="AC127" s="8">
        <v>29</v>
      </c>
      <c r="AD127" s="12">
        <v>25.66</v>
      </c>
      <c r="AE127" s="8">
        <v>4</v>
      </c>
      <c r="AF127" s="14">
        <v>0.1639344262295082</v>
      </c>
      <c r="AG127" s="8" t="s">
        <v>386</v>
      </c>
      <c r="AH127" s="15" t="s">
        <v>957</v>
      </c>
      <c r="AI127" s="15" t="s">
        <v>1077</v>
      </c>
      <c r="AJ127" s="16">
        <v>239.85949359754332</v>
      </c>
      <c r="AK127" s="16">
        <v>55.169882380207426</v>
      </c>
      <c r="AL127" s="17">
        <f>(11848/B127)*100</f>
        <v>68.64824149718987</v>
      </c>
      <c r="AM127" s="43">
        <v>0.168028275102845</v>
      </c>
      <c r="AN127" s="43">
        <v>0.139057882843734</v>
      </c>
    </row>
    <row r="128" spans="1:40" ht="12">
      <c r="A128" s="7" t="s">
        <v>344</v>
      </c>
      <c r="B128" s="17">
        <v>14461</v>
      </c>
      <c r="C128" s="8" t="s">
        <v>651</v>
      </c>
      <c r="D128" s="9" t="s">
        <v>1071</v>
      </c>
      <c r="E128" s="10">
        <f t="shared" si="2"/>
        <v>8.663366336633663</v>
      </c>
      <c r="F128" s="9">
        <v>266900</v>
      </c>
      <c r="G128" s="9">
        <v>255000</v>
      </c>
      <c r="H128" s="10">
        <f t="shared" si="3"/>
        <v>4.666666666666667</v>
      </c>
      <c r="I128" s="11">
        <v>13.52</v>
      </c>
      <c r="J128" s="9">
        <v>71089</v>
      </c>
      <c r="K128" s="9">
        <v>598.8</v>
      </c>
      <c r="L128" s="9">
        <v>432</v>
      </c>
      <c r="M128" s="12">
        <v>41.5</v>
      </c>
      <c r="N128" s="12">
        <v>3.4</v>
      </c>
      <c r="O128" s="12">
        <v>4804</v>
      </c>
      <c r="P128" s="12">
        <v>11.75</v>
      </c>
      <c r="Q128" s="12">
        <v>26</v>
      </c>
      <c r="R128" s="9">
        <v>8430</v>
      </c>
      <c r="S128" s="3" t="s">
        <v>98</v>
      </c>
      <c r="T128" s="3" t="s">
        <v>352</v>
      </c>
      <c r="U128" s="4" t="s">
        <v>904</v>
      </c>
      <c r="V128" s="8" t="s">
        <v>716</v>
      </c>
      <c r="W128" s="12">
        <v>90</v>
      </c>
      <c r="X128" s="9">
        <v>53918</v>
      </c>
      <c r="Y128" s="8">
        <v>14</v>
      </c>
      <c r="Z128" s="44">
        <v>0.6</v>
      </c>
      <c r="AA128" s="8">
        <v>100</v>
      </c>
      <c r="AB128" s="8">
        <v>4</v>
      </c>
      <c r="AC128" s="8">
        <v>14</v>
      </c>
      <c r="AD128" s="12">
        <v>2.91</v>
      </c>
      <c r="AE128" s="8">
        <v>0</v>
      </c>
      <c r="AF128" s="14">
        <v>2.6666666666666665</v>
      </c>
      <c r="AG128" s="8" t="s">
        <v>386</v>
      </c>
      <c r="AH128" s="15" t="s">
        <v>246</v>
      </c>
      <c r="AI128" s="15" t="s">
        <v>597</v>
      </c>
      <c r="AJ128" s="16">
        <v>333.36892331097437</v>
      </c>
      <c r="AK128" s="16">
        <v>37.74552243966531</v>
      </c>
      <c r="AL128" s="17">
        <f>(10224/B128)*100</f>
        <v>70.70050480603001</v>
      </c>
      <c r="AM128" s="43">
        <v>0.269690892746006</v>
      </c>
      <c r="AN128" s="43">
        <v>0.235115137265749</v>
      </c>
    </row>
    <row r="129" spans="1:40" ht="12">
      <c r="A129" s="7" t="s">
        <v>345</v>
      </c>
      <c r="B129" s="17">
        <v>56647</v>
      </c>
      <c r="C129" s="8" t="s">
        <v>1174</v>
      </c>
      <c r="D129" s="9" t="s">
        <v>1072</v>
      </c>
      <c r="E129" s="10">
        <f t="shared" si="2"/>
        <v>11.220279033208882</v>
      </c>
      <c r="F129" s="9">
        <v>205000</v>
      </c>
      <c r="G129" s="9">
        <v>182750</v>
      </c>
      <c r="H129" s="10">
        <f t="shared" si="3"/>
        <v>12.175102599179207</v>
      </c>
      <c r="I129" s="11">
        <v>12.52</v>
      </c>
      <c r="J129" s="9">
        <v>42932</v>
      </c>
      <c r="K129" s="9">
        <v>286</v>
      </c>
      <c r="L129" s="9">
        <v>214</v>
      </c>
      <c r="M129" s="12">
        <v>35.7</v>
      </c>
      <c r="N129" s="12">
        <v>10.2</v>
      </c>
      <c r="O129" s="12">
        <v>1201</v>
      </c>
      <c r="P129" s="12">
        <v>37.43</v>
      </c>
      <c r="Q129" s="12" t="s">
        <v>1129</v>
      </c>
      <c r="R129" s="9">
        <v>7088</v>
      </c>
      <c r="S129" s="3" t="s">
        <v>99</v>
      </c>
      <c r="T129" s="3" t="s">
        <v>157</v>
      </c>
      <c r="U129" s="4" t="s">
        <v>906</v>
      </c>
      <c r="V129" s="8" t="s">
        <v>1113</v>
      </c>
      <c r="W129" s="12">
        <v>70</v>
      </c>
      <c r="X129" s="9">
        <v>54287</v>
      </c>
      <c r="Y129" s="8">
        <v>17</v>
      </c>
      <c r="Z129" s="44">
        <v>7.2</v>
      </c>
      <c r="AA129" s="8">
        <v>100</v>
      </c>
      <c r="AB129" s="8">
        <v>3</v>
      </c>
      <c r="AC129" s="8">
        <v>65</v>
      </c>
      <c r="AD129" s="12">
        <v>13.58</v>
      </c>
      <c r="AE129" s="8">
        <v>10</v>
      </c>
      <c r="AF129" s="14">
        <v>0.6223175965665236</v>
      </c>
      <c r="AG129" s="8" t="s">
        <v>385</v>
      </c>
      <c r="AH129" s="15" t="s">
        <v>250</v>
      </c>
      <c r="AI129" s="15" t="s">
        <v>1078</v>
      </c>
      <c r="AJ129" s="16">
        <v>301.54145850618744</v>
      </c>
      <c r="AK129" s="16">
        <v>30.37234098893145</v>
      </c>
      <c r="AL129" s="17">
        <f>(33336/B129)*100</f>
        <v>58.84865924055996</v>
      </c>
      <c r="AM129" s="43">
        <v>0.222430137518315</v>
      </c>
      <c r="AN129" s="43">
        <v>0.268328419863364</v>
      </c>
    </row>
    <row r="130" spans="1:40" ht="12">
      <c r="A130" s="7" t="s">
        <v>346</v>
      </c>
      <c r="B130" s="17">
        <v>29355</v>
      </c>
      <c r="C130" s="8" t="s">
        <v>1175</v>
      </c>
      <c r="D130" s="9" t="s">
        <v>447</v>
      </c>
      <c r="E130" s="10">
        <f t="shared" si="2"/>
        <v>8.78125</v>
      </c>
      <c r="F130" s="9">
        <v>272900</v>
      </c>
      <c r="G130" s="9">
        <v>252250</v>
      </c>
      <c r="H130" s="10">
        <f t="shared" si="3"/>
        <v>8.186323092170465</v>
      </c>
      <c r="I130" s="11">
        <v>13.6</v>
      </c>
      <c r="J130" s="9">
        <v>68800</v>
      </c>
      <c r="K130" s="9">
        <v>338</v>
      </c>
      <c r="L130" s="9">
        <v>504</v>
      </c>
      <c r="M130" s="12">
        <v>37.6</v>
      </c>
      <c r="N130" s="12">
        <v>4.3</v>
      </c>
      <c r="O130" s="12">
        <v>1394</v>
      </c>
      <c r="P130" s="12">
        <v>22.29</v>
      </c>
      <c r="Q130" s="12" t="s">
        <v>1129</v>
      </c>
      <c r="R130" s="9">
        <v>6712</v>
      </c>
      <c r="S130" s="3" t="s">
        <v>100</v>
      </c>
      <c r="T130" s="3" t="s">
        <v>158</v>
      </c>
      <c r="U130" s="4" t="s">
        <v>1022</v>
      </c>
      <c r="V130" s="8" t="s">
        <v>1114</v>
      </c>
      <c r="W130" s="12">
        <v>94</v>
      </c>
      <c r="X130" s="9">
        <v>53815</v>
      </c>
      <c r="Y130" s="8">
        <v>17</v>
      </c>
      <c r="Z130" s="44">
        <v>3.2</v>
      </c>
      <c r="AA130" s="8">
        <v>100</v>
      </c>
      <c r="AB130" s="8">
        <v>5</v>
      </c>
      <c r="AC130" s="8">
        <v>65</v>
      </c>
      <c r="AD130" s="12">
        <v>2.72</v>
      </c>
      <c r="AE130" s="8">
        <v>4</v>
      </c>
      <c r="AF130" s="14">
        <v>0.48309178743961356</v>
      </c>
      <c r="AG130" s="8" t="s">
        <v>386</v>
      </c>
      <c r="AH130" s="15" t="s">
        <v>251</v>
      </c>
      <c r="AI130" s="15" t="s">
        <v>1079</v>
      </c>
      <c r="AJ130" s="16">
        <v>300.9602112076307</v>
      </c>
      <c r="AK130" s="16">
        <v>42.37465508431272</v>
      </c>
      <c r="AL130" s="17">
        <f>(19027/B130)*100</f>
        <v>64.81689661045819</v>
      </c>
      <c r="AM130" s="43">
        <v>0.218020780105604</v>
      </c>
      <c r="AN130" s="43">
        <v>0.180548458524953</v>
      </c>
    </row>
    <row r="131" spans="1:40" ht="12">
      <c r="A131" s="7" t="s">
        <v>347</v>
      </c>
      <c r="B131" s="17">
        <v>6234</v>
      </c>
      <c r="C131" s="8" t="s">
        <v>1176</v>
      </c>
      <c r="D131" s="9" t="s">
        <v>409</v>
      </c>
      <c r="E131" s="10">
        <f aca="true" t="shared" si="4" ref="E131:E151">(C131-D131)/D131*100</f>
        <v>0.9962049335863378</v>
      </c>
      <c r="F131" s="9">
        <v>424000</v>
      </c>
      <c r="G131" s="9">
        <v>234500</v>
      </c>
      <c r="H131" s="10">
        <f aca="true" t="shared" si="5" ref="H131:H151">(F131-G131)/G131*100</f>
        <v>80.81023454157783</v>
      </c>
      <c r="I131" s="11">
        <v>12.74</v>
      </c>
      <c r="J131" s="9">
        <v>96430</v>
      </c>
      <c r="K131" s="9">
        <v>530</v>
      </c>
      <c r="L131" s="9" t="s">
        <v>1129</v>
      </c>
      <c r="M131" s="12">
        <v>41</v>
      </c>
      <c r="N131" s="12">
        <v>2.9</v>
      </c>
      <c r="O131" s="12">
        <v>484</v>
      </c>
      <c r="P131" s="12">
        <v>23.38</v>
      </c>
      <c r="Q131" s="12" t="s">
        <v>1129</v>
      </c>
      <c r="R131" s="2">
        <v>9266</v>
      </c>
      <c r="S131" s="3" t="s">
        <v>101</v>
      </c>
      <c r="T131" s="3" t="s">
        <v>57</v>
      </c>
      <c r="U131" s="4" t="s">
        <v>1037</v>
      </c>
      <c r="V131" s="1" t="s">
        <v>1178</v>
      </c>
      <c r="W131" s="12">
        <v>93</v>
      </c>
      <c r="X131" s="2">
        <v>56147</v>
      </c>
      <c r="Y131" s="8">
        <v>16</v>
      </c>
      <c r="Z131" s="44">
        <v>0.7</v>
      </c>
      <c r="AA131" s="8">
        <v>100</v>
      </c>
      <c r="AB131" s="8">
        <v>2</v>
      </c>
      <c r="AC131" s="8">
        <v>12</v>
      </c>
      <c r="AD131" s="12">
        <v>25.85</v>
      </c>
      <c r="AE131" s="8">
        <v>0</v>
      </c>
      <c r="AF131" s="14">
        <v>0.3937007874015748</v>
      </c>
      <c r="AG131" s="8" t="s">
        <v>386</v>
      </c>
      <c r="AH131" s="15" t="s">
        <v>942</v>
      </c>
      <c r="AI131" s="15" t="s">
        <v>1161</v>
      </c>
      <c r="AJ131" s="16">
        <v>220.66618543471287</v>
      </c>
      <c r="AK131" s="16">
        <v>90.76066730830927</v>
      </c>
      <c r="AL131" s="17">
        <f>(4236/B131)*100</f>
        <v>67.94995187680462</v>
      </c>
      <c r="AM131" s="43">
        <v>0.288739172281039</v>
      </c>
      <c r="AN131" s="43">
        <v>0.256657042027591</v>
      </c>
    </row>
    <row r="132" spans="1:40" ht="12">
      <c r="A132" s="7" t="s">
        <v>723</v>
      </c>
      <c r="B132" s="17">
        <v>24817</v>
      </c>
      <c r="C132" s="18">
        <v>395000</v>
      </c>
      <c r="D132" s="9" t="s">
        <v>410</v>
      </c>
      <c r="E132" s="10">
        <f t="shared" si="4"/>
        <v>4.691227140206732</v>
      </c>
      <c r="F132" s="9">
        <v>230000</v>
      </c>
      <c r="G132" s="9">
        <v>227000</v>
      </c>
      <c r="H132" s="10">
        <f t="shared" si="5"/>
        <v>1.3215859030837005</v>
      </c>
      <c r="I132" s="11">
        <v>11.06</v>
      </c>
      <c r="J132" s="9">
        <v>66117</v>
      </c>
      <c r="K132" s="9">
        <v>390</v>
      </c>
      <c r="L132" s="9">
        <v>800</v>
      </c>
      <c r="M132" s="12">
        <v>38.9</v>
      </c>
      <c r="N132" s="12">
        <v>3.6</v>
      </c>
      <c r="O132" s="12">
        <v>3307</v>
      </c>
      <c r="P132" s="12">
        <v>14.59</v>
      </c>
      <c r="Q132" s="12">
        <v>24</v>
      </c>
      <c r="R132" s="9">
        <v>8272</v>
      </c>
      <c r="S132" s="3" t="s">
        <v>102</v>
      </c>
      <c r="T132" s="3" t="s">
        <v>159</v>
      </c>
      <c r="U132" s="4" t="s">
        <v>905</v>
      </c>
      <c r="V132" s="1" t="s">
        <v>1115</v>
      </c>
      <c r="W132" s="12">
        <v>87</v>
      </c>
      <c r="X132" s="9">
        <v>50143</v>
      </c>
      <c r="Y132" s="8">
        <v>13</v>
      </c>
      <c r="Z132" s="44">
        <v>1.7</v>
      </c>
      <c r="AA132" s="8">
        <v>100</v>
      </c>
      <c r="AB132" s="8">
        <v>4</v>
      </c>
      <c r="AC132" s="8">
        <v>38</v>
      </c>
      <c r="AD132" s="12">
        <v>9.52</v>
      </c>
      <c r="AE132" s="8">
        <v>1</v>
      </c>
      <c r="AF132" s="14">
        <v>1.4666666666666666</v>
      </c>
      <c r="AG132" s="8" t="s">
        <v>386</v>
      </c>
      <c r="AH132" s="15" t="s">
        <v>1130</v>
      </c>
      <c r="AI132" s="15" t="s">
        <v>1080</v>
      </c>
      <c r="AJ132" s="16">
        <v>234.30426723616876</v>
      </c>
      <c r="AK132" s="16">
        <v>69.85461578756498</v>
      </c>
      <c r="AL132" s="17">
        <f>(17187/B132)*100</f>
        <v>69.2549462062296</v>
      </c>
      <c r="AM132" s="43">
        <v>0.269976225974131</v>
      </c>
      <c r="AN132" s="43">
        <v>0.249828746423822</v>
      </c>
    </row>
    <row r="133" spans="1:40" ht="12">
      <c r="A133" s="7" t="s">
        <v>724</v>
      </c>
      <c r="B133" s="17">
        <v>23199</v>
      </c>
      <c r="C133" s="8" t="s">
        <v>704</v>
      </c>
      <c r="D133" s="9" t="s">
        <v>411</v>
      </c>
      <c r="E133" s="10">
        <f t="shared" si="4"/>
        <v>10.103305785123966</v>
      </c>
      <c r="F133" s="9">
        <v>340500</v>
      </c>
      <c r="G133" s="9">
        <v>316000</v>
      </c>
      <c r="H133" s="10">
        <f t="shared" si="5"/>
        <v>7.753164556962025</v>
      </c>
      <c r="I133" s="11">
        <v>13.93</v>
      </c>
      <c r="J133" s="9">
        <v>74757</v>
      </c>
      <c r="K133" s="9">
        <v>420</v>
      </c>
      <c r="L133" s="9">
        <v>570.24</v>
      </c>
      <c r="M133" s="12">
        <v>38.8</v>
      </c>
      <c r="N133" s="12">
        <v>5.4</v>
      </c>
      <c r="O133" s="12">
        <v>1113</v>
      </c>
      <c r="P133" s="12">
        <v>26.31</v>
      </c>
      <c r="Q133" s="12">
        <v>45</v>
      </c>
      <c r="R133" s="9">
        <v>7230</v>
      </c>
      <c r="S133" s="3" t="s">
        <v>103</v>
      </c>
      <c r="T133" s="3" t="s">
        <v>160</v>
      </c>
      <c r="U133" s="4" t="s">
        <v>904</v>
      </c>
      <c r="V133" s="8" t="s">
        <v>1116</v>
      </c>
      <c r="W133" s="12">
        <v>89</v>
      </c>
      <c r="X133" s="9">
        <v>47060</v>
      </c>
      <c r="Y133" s="8">
        <v>15</v>
      </c>
      <c r="Z133" s="44">
        <v>0.9</v>
      </c>
      <c r="AA133" s="8">
        <v>65</v>
      </c>
      <c r="AB133" s="8">
        <v>4</v>
      </c>
      <c r="AC133" s="8">
        <v>38</v>
      </c>
      <c r="AD133" s="12">
        <v>14.12</v>
      </c>
      <c r="AE133" s="8">
        <v>3</v>
      </c>
      <c r="AF133" s="14">
        <v>0.6341463414634146</v>
      </c>
      <c r="AG133" s="8" t="s">
        <v>385</v>
      </c>
      <c r="AH133" s="15" t="s">
        <v>960</v>
      </c>
      <c r="AI133" s="15" t="s">
        <v>1081</v>
      </c>
      <c r="AJ133" s="16">
        <v>203.37743006164058</v>
      </c>
      <c r="AK133" s="16">
        <v>47.60291391870339</v>
      </c>
      <c r="AL133" s="17">
        <f>(15531/B133)*100</f>
        <v>66.94685115737748</v>
      </c>
      <c r="AM133" s="43">
        <v>0.258631837579206</v>
      </c>
      <c r="AN133" s="43">
        <v>0.146558041294883</v>
      </c>
    </row>
    <row r="134" spans="1:40" ht="12">
      <c r="A134" s="7" t="s">
        <v>725</v>
      </c>
      <c r="B134" s="17">
        <v>59073</v>
      </c>
      <c r="C134" s="8" t="s">
        <v>705</v>
      </c>
      <c r="D134" s="9" t="s">
        <v>412</v>
      </c>
      <c r="E134" s="10">
        <f t="shared" si="4"/>
        <v>8.548409121944559</v>
      </c>
      <c r="F134" s="9">
        <v>339900</v>
      </c>
      <c r="G134" s="9">
        <v>325000</v>
      </c>
      <c r="H134" s="10">
        <f t="shared" si="5"/>
        <v>4.584615384615385</v>
      </c>
      <c r="I134" s="11">
        <v>9.67</v>
      </c>
      <c r="J134" s="9">
        <v>54010</v>
      </c>
      <c r="K134" s="9">
        <v>256.56</v>
      </c>
      <c r="L134" s="9">
        <v>454.2</v>
      </c>
      <c r="M134" s="12">
        <v>34.2</v>
      </c>
      <c r="N134" s="12">
        <v>21.6</v>
      </c>
      <c r="O134" s="12">
        <v>4664</v>
      </c>
      <c r="P134" s="12">
        <v>10.63</v>
      </c>
      <c r="Q134" s="12">
        <v>23</v>
      </c>
      <c r="R134" s="9">
        <v>12190</v>
      </c>
      <c r="S134" s="3" t="s">
        <v>104</v>
      </c>
      <c r="T134" s="3" t="s">
        <v>161</v>
      </c>
      <c r="U134" s="4" t="s">
        <v>903</v>
      </c>
      <c r="V134" s="1" t="s">
        <v>1117</v>
      </c>
      <c r="W134" s="12">
        <v>81</v>
      </c>
      <c r="X134" s="9">
        <v>55832</v>
      </c>
      <c r="Y134" s="8">
        <v>11</v>
      </c>
      <c r="Z134" s="44">
        <v>0.6</v>
      </c>
      <c r="AA134" s="8">
        <v>72</v>
      </c>
      <c r="AB134" s="8">
        <v>9</v>
      </c>
      <c r="AC134" s="8">
        <v>55</v>
      </c>
      <c r="AD134" s="12">
        <v>19.24</v>
      </c>
      <c r="AE134" s="8">
        <v>5</v>
      </c>
      <c r="AF134" s="14">
        <v>1.7322834645669292</v>
      </c>
      <c r="AG134" s="8" t="s">
        <v>386</v>
      </c>
      <c r="AH134" s="15" t="s">
        <v>252</v>
      </c>
      <c r="AI134" s="15" t="s">
        <v>1082</v>
      </c>
      <c r="AJ134" s="16">
        <v>390.62101129111437</v>
      </c>
      <c r="AK134" s="16">
        <v>49.00023699490461</v>
      </c>
      <c r="AL134" s="17">
        <f>(33210/B134)*100</f>
        <v>56.21857701487989</v>
      </c>
      <c r="AM134" s="43">
        <v>0.192981565182063</v>
      </c>
      <c r="AN134" s="43">
        <v>0.174360536962741</v>
      </c>
    </row>
    <row r="135" spans="1:40" ht="12">
      <c r="A135" s="7" t="s">
        <v>375</v>
      </c>
      <c r="B135" s="17">
        <v>32857</v>
      </c>
      <c r="C135" s="8" t="s">
        <v>878</v>
      </c>
      <c r="D135" s="9" t="s">
        <v>413</v>
      </c>
      <c r="E135" s="10">
        <f t="shared" si="4"/>
        <v>9.48905109489051</v>
      </c>
      <c r="F135" s="9">
        <v>325000</v>
      </c>
      <c r="G135" s="9">
        <v>324000</v>
      </c>
      <c r="H135" s="10">
        <f t="shared" si="5"/>
        <v>0.30864197530864196</v>
      </c>
      <c r="I135" s="11">
        <v>12.65</v>
      </c>
      <c r="J135" s="9">
        <v>59764</v>
      </c>
      <c r="K135" s="9">
        <v>368.12</v>
      </c>
      <c r="L135" s="9">
        <v>661.2</v>
      </c>
      <c r="M135" s="12">
        <v>36.7</v>
      </c>
      <c r="N135" s="12">
        <v>10.3</v>
      </c>
      <c r="O135" s="12">
        <v>8045</v>
      </c>
      <c r="P135" s="12">
        <v>8.2</v>
      </c>
      <c r="Q135" s="12" t="s">
        <v>1129</v>
      </c>
      <c r="R135" s="9">
        <v>10962</v>
      </c>
      <c r="S135" s="3" t="s">
        <v>105</v>
      </c>
      <c r="T135" s="3" t="s">
        <v>162</v>
      </c>
      <c r="U135" s="4" t="s">
        <v>1026</v>
      </c>
      <c r="V135" s="8" t="s">
        <v>1118</v>
      </c>
      <c r="W135" s="12">
        <v>88</v>
      </c>
      <c r="X135" s="9">
        <v>57293</v>
      </c>
      <c r="Y135" s="8">
        <v>8</v>
      </c>
      <c r="Z135" s="44">
        <v>0.8</v>
      </c>
      <c r="AA135" s="8">
        <v>100</v>
      </c>
      <c r="AB135" s="8">
        <v>7</v>
      </c>
      <c r="AC135" s="8">
        <v>43</v>
      </c>
      <c r="AD135" s="12">
        <v>16.99</v>
      </c>
      <c r="AE135" s="8">
        <v>2</v>
      </c>
      <c r="AF135" s="14">
        <v>4.146341463414634</v>
      </c>
      <c r="AG135" s="8" t="s">
        <v>386</v>
      </c>
      <c r="AH135" s="15" t="s">
        <v>566</v>
      </c>
      <c r="AI135" s="15" t="s">
        <v>1083</v>
      </c>
      <c r="AJ135" s="16">
        <v>342.80025565328543</v>
      </c>
      <c r="AK135" s="16">
        <v>62.78455123717929</v>
      </c>
      <c r="AL135" s="17">
        <f>(21435/B135)*100</f>
        <v>65.23724016191375</v>
      </c>
      <c r="AM135" s="43">
        <v>0.225218370514654</v>
      </c>
      <c r="AN135" s="43">
        <v>0.188696472593359</v>
      </c>
    </row>
    <row r="136" spans="1:40" ht="12">
      <c r="A136" s="7" t="s">
        <v>376</v>
      </c>
      <c r="B136" s="17">
        <v>13239</v>
      </c>
      <c r="C136" s="8" t="s">
        <v>706</v>
      </c>
      <c r="D136" s="9" t="s">
        <v>414</v>
      </c>
      <c r="E136" s="10">
        <f t="shared" si="4"/>
        <v>7.848726719878374</v>
      </c>
      <c r="F136" s="9">
        <v>590000</v>
      </c>
      <c r="G136" s="9">
        <v>565000</v>
      </c>
      <c r="H136" s="10">
        <f t="shared" si="5"/>
        <v>4.424778761061947</v>
      </c>
      <c r="I136" s="11">
        <v>12.52</v>
      </c>
      <c r="J136" s="9">
        <v>101036</v>
      </c>
      <c r="K136" s="9">
        <v>325</v>
      </c>
      <c r="L136" s="9" t="s">
        <v>1129</v>
      </c>
      <c r="M136" s="12">
        <v>41.4</v>
      </c>
      <c r="N136" s="12">
        <v>8.6</v>
      </c>
      <c r="O136" s="12">
        <v>862</v>
      </c>
      <c r="P136" s="12">
        <v>17.81</v>
      </c>
      <c r="Q136" s="12" t="s">
        <v>1129</v>
      </c>
      <c r="R136" s="9">
        <v>10042</v>
      </c>
      <c r="S136" s="3" t="s">
        <v>106</v>
      </c>
      <c r="T136" s="3" t="s">
        <v>163</v>
      </c>
      <c r="U136" s="4" t="s">
        <v>902</v>
      </c>
      <c r="V136" s="1" t="s">
        <v>1119</v>
      </c>
      <c r="W136" s="12">
        <v>94</v>
      </c>
      <c r="X136" s="9">
        <v>63320</v>
      </c>
      <c r="Y136" s="8">
        <v>15</v>
      </c>
      <c r="Z136" s="44">
        <v>0.5</v>
      </c>
      <c r="AA136" s="8">
        <v>96</v>
      </c>
      <c r="AB136" s="8">
        <v>4</v>
      </c>
      <c r="AC136" s="8">
        <v>19</v>
      </c>
      <c r="AD136" s="12">
        <v>34.99</v>
      </c>
      <c r="AE136" s="8">
        <v>3</v>
      </c>
      <c r="AF136" s="14">
        <v>0.46052631578947373</v>
      </c>
      <c r="AG136" s="8" t="s">
        <v>386</v>
      </c>
      <c r="AH136" s="15" t="s">
        <v>937</v>
      </c>
      <c r="AI136" s="15" t="s">
        <v>1084</v>
      </c>
      <c r="AJ136" s="16">
        <v>252.87665231512955</v>
      </c>
      <c r="AK136" s="16">
        <v>156.23022886924994</v>
      </c>
      <c r="AL136" s="17">
        <f>(9843/B136)*100</f>
        <v>74.34851574892363</v>
      </c>
      <c r="AM136" s="43">
        <v>0.173729133620364</v>
      </c>
      <c r="AN136" s="43">
        <v>0.196389455396933</v>
      </c>
    </row>
    <row r="137" spans="1:40" ht="12">
      <c r="A137" s="7" t="s">
        <v>377</v>
      </c>
      <c r="B137" s="17">
        <v>26671</v>
      </c>
      <c r="C137" s="8" t="s">
        <v>707</v>
      </c>
      <c r="D137" s="9" t="s">
        <v>415</v>
      </c>
      <c r="E137" s="10">
        <f t="shared" si="4"/>
        <v>16.8984</v>
      </c>
      <c r="F137" s="9">
        <v>550000</v>
      </c>
      <c r="G137" s="9">
        <v>448750</v>
      </c>
      <c r="H137" s="10">
        <f t="shared" si="5"/>
        <v>22.56267409470752</v>
      </c>
      <c r="I137" s="11">
        <v>8.12</v>
      </c>
      <c r="J137" s="9">
        <v>113686</v>
      </c>
      <c r="K137" s="9">
        <v>263.16</v>
      </c>
      <c r="L137" s="9">
        <v>610.8</v>
      </c>
      <c r="M137" s="12">
        <v>37.6</v>
      </c>
      <c r="N137" s="12">
        <v>11.7</v>
      </c>
      <c r="O137" s="12">
        <v>2609</v>
      </c>
      <c r="P137" s="12">
        <v>14.8</v>
      </c>
      <c r="Q137" s="12">
        <v>32</v>
      </c>
      <c r="R137" s="9">
        <v>9589</v>
      </c>
      <c r="S137" s="3" t="s">
        <v>107</v>
      </c>
      <c r="T137" s="3" t="s">
        <v>164</v>
      </c>
      <c r="U137" s="4" t="s">
        <v>901</v>
      </c>
      <c r="V137" s="1" t="s">
        <v>1120</v>
      </c>
      <c r="W137" s="12" t="s">
        <v>1129</v>
      </c>
      <c r="X137" s="9">
        <v>59577</v>
      </c>
      <c r="Y137" s="8">
        <v>13</v>
      </c>
      <c r="Z137" s="44">
        <v>0.3</v>
      </c>
      <c r="AA137" s="8">
        <v>100</v>
      </c>
      <c r="AB137" s="8">
        <v>4</v>
      </c>
      <c r="AC137" s="8">
        <v>44</v>
      </c>
      <c r="AD137" s="12">
        <v>13.99</v>
      </c>
      <c r="AE137" s="8">
        <v>2</v>
      </c>
      <c r="AF137" s="14">
        <v>0.6862745098039216</v>
      </c>
      <c r="AG137" s="8" t="s">
        <v>385</v>
      </c>
      <c r="AH137" s="15" t="s">
        <v>1132</v>
      </c>
      <c r="AI137" s="15" t="s">
        <v>1085</v>
      </c>
      <c r="AJ137" s="16">
        <v>285.07716246110004</v>
      </c>
      <c r="AK137" s="16">
        <v>138.4120580405684</v>
      </c>
      <c r="AL137" s="17">
        <f>(17726/B137)*100</f>
        <v>66.46169997375426</v>
      </c>
      <c r="AM137" s="43">
        <v>0.187469536200367</v>
      </c>
      <c r="AN137" s="43">
        <v>0.168722582580331</v>
      </c>
    </row>
    <row r="138" spans="1:40" ht="12">
      <c r="A138" s="7" t="s">
        <v>378</v>
      </c>
      <c r="B138" s="17">
        <v>4455</v>
      </c>
      <c r="C138" s="8" t="s">
        <v>708</v>
      </c>
      <c r="D138" s="9" t="s">
        <v>416</v>
      </c>
      <c r="E138" s="10">
        <f t="shared" si="4"/>
        <v>-7.203539823008849</v>
      </c>
      <c r="F138" s="9" t="s">
        <v>1129</v>
      </c>
      <c r="G138" s="9" t="s">
        <v>1129</v>
      </c>
      <c r="H138" s="10" t="s">
        <v>1129</v>
      </c>
      <c r="I138" s="11">
        <v>11.03</v>
      </c>
      <c r="J138" s="9">
        <v>90524</v>
      </c>
      <c r="K138" s="9">
        <v>110</v>
      </c>
      <c r="L138" s="9" t="s">
        <v>1129</v>
      </c>
      <c r="M138" s="12">
        <v>33.6</v>
      </c>
      <c r="N138" s="12">
        <v>2.7</v>
      </c>
      <c r="O138" s="12">
        <v>577</v>
      </c>
      <c r="P138" s="12">
        <v>25.5</v>
      </c>
      <c r="Q138" s="12">
        <v>46</v>
      </c>
      <c r="R138" s="9">
        <v>8028</v>
      </c>
      <c r="S138" s="3" t="s">
        <v>489</v>
      </c>
      <c r="T138" s="3" t="s">
        <v>94</v>
      </c>
      <c r="U138" s="4" t="s">
        <v>900</v>
      </c>
      <c r="V138" s="1" t="s">
        <v>985</v>
      </c>
      <c r="W138" s="12">
        <v>88</v>
      </c>
      <c r="X138" s="9">
        <v>51868</v>
      </c>
      <c r="Y138" s="8">
        <v>14</v>
      </c>
      <c r="Z138" s="44">
        <v>0.7</v>
      </c>
      <c r="AA138" s="8">
        <v>100</v>
      </c>
      <c r="AB138" s="8">
        <v>4</v>
      </c>
      <c r="AC138" s="8" t="s">
        <v>1129</v>
      </c>
      <c r="AD138" s="12">
        <v>30.36</v>
      </c>
      <c r="AE138" s="8">
        <v>0</v>
      </c>
      <c r="AF138" s="14">
        <v>0</v>
      </c>
      <c r="AG138" s="8" t="s">
        <v>386</v>
      </c>
      <c r="AH138" s="15" t="s">
        <v>948</v>
      </c>
      <c r="AI138" s="15" t="s">
        <v>1133</v>
      </c>
      <c r="AJ138" s="16">
        <v>252.28395061728395</v>
      </c>
      <c r="AK138" s="16">
        <v>126.75555555555556</v>
      </c>
      <c r="AL138" s="17">
        <f>(2796/B138)*100</f>
        <v>62.76094276094276</v>
      </c>
      <c r="AM138" s="43">
        <v>0.224466891133558</v>
      </c>
      <c r="AN138" s="43">
        <v>0.246913580246914</v>
      </c>
    </row>
    <row r="139" spans="1:40" ht="12">
      <c r="A139" s="7" t="s">
        <v>864</v>
      </c>
      <c r="B139" s="17">
        <v>6835</v>
      </c>
      <c r="C139" s="8" t="s">
        <v>709</v>
      </c>
      <c r="D139" s="9" t="s">
        <v>417</v>
      </c>
      <c r="E139" s="10">
        <f t="shared" si="4"/>
        <v>10.641600551914452</v>
      </c>
      <c r="F139" s="9" t="s">
        <v>1129</v>
      </c>
      <c r="G139" s="9" t="s">
        <v>1129</v>
      </c>
      <c r="H139" s="10" t="s">
        <v>1129</v>
      </c>
      <c r="I139" s="11">
        <v>12.94</v>
      </c>
      <c r="J139" s="9">
        <v>55958</v>
      </c>
      <c r="K139" s="9">
        <v>300</v>
      </c>
      <c r="L139" s="9" t="s">
        <v>1129</v>
      </c>
      <c r="M139" s="12">
        <v>40.1</v>
      </c>
      <c r="N139" s="12">
        <v>4.3</v>
      </c>
      <c r="O139" s="12">
        <v>423</v>
      </c>
      <c r="P139" s="12">
        <v>29.1</v>
      </c>
      <c r="Q139" s="12" t="s">
        <v>1129</v>
      </c>
      <c r="R139" s="9">
        <v>8662</v>
      </c>
      <c r="S139" s="3" t="s">
        <v>108</v>
      </c>
      <c r="T139" s="3" t="s">
        <v>165</v>
      </c>
      <c r="U139" s="4" t="s">
        <v>899</v>
      </c>
      <c r="V139" s="1" t="s">
        <v>1121</v>
      </c>
      <c r="W139" s="12">
        <v>85</v>
      </c>
      <c r="X139" s="9">
        <v>53075</v>
      </c>
      <c r="Y139" s="8">
        <v>14</v>
      </c>
      <c r="Z139" s="44">
        <v>2</v>
      </c>
      <c r="AA139" s="8">
        <v>96</v>
      </c>
      <c r="AB139" s="8">
        <v>4</v>
      </c>
      <c r="AC139" s="8">
        <v>18</v>
      </c>
      <c r="AD139" s="12">
        <v>24</v>
      </c>
      <c r="AE139" s="8">
        <v>0</v>
      </c>
      <c r="AF139" s="14">
        <v>0.1910828025477707</v>
      </c>
      <c r="AG139" s="8" t="s">
        <v>385</v>
      </c>
      <c r="AH139" s="15" t="s">
        <v>1134</v>
      </c>
      <c r="AI139" s="15" t="s">
        <v>607</v>
      </c>
      <c r="AJ139" s="16">
        <v>366.4566203365033</v>
      </c>
      <c r="AK139" s="16">
        <v>62.283247988295535</v>
      </c>
      <c r="AL139" s="17">
        <f>(4843/B139)*100</f>
        <v>70.8558888076079</v>
      </c>
      <c r="AM139" s="43">
        <v>0.263350402340892</v>
      </c>
      <c r="AN139" s="43">
        <v>0.365764447695684</v>
      </c>
    </row>
    <row r="140" spans="1:40" ht="12">
      <c r="A140" s="7" t="s">
        <v>865</v>
      </c>
      <c r="B140" s="17">
        <v>4241</v>
      </c>
      <c r="C140" s="8" t="s">
        <v>710</v>
      </c>
      <c r="D140" s="9" t="s">
        <v>1086</v>
      </c>
      <c r="E140" s="10">
        <f t="shared" si="4"/>
        <v>-6.192893401015229</v>
      </c>
      <c r="F140" s="9" t="s">
        <v>1129</v>
      </c>
      <c r="G140" s="9">
        <v>300050</v>
      </c>
      <c r="H140" s="10" t="s">
        <v>1129</v>
      </c>
      <c r="I140" s="11">
        <v>12.22</v>
      </c>
      <c r="J140" s="9">
        <v>92828</v>
      </c>
      <c r="K140" s="9">
        <v>653</v>
      </c>
      <c r="L140" s="9" t="s">
        <v>1129</v>
      </c>
      <c r="M140" s="12">
        <v>39.6</v>
      </c>
      <c r="N140" s="12">
        <v>2</v>
      </c>
      <c r="O140" s="12">
        <v>307</v>
      </c>
      <c r="P140" s="12">
        <v>37.72</v>
      </c>
      <c r="Q140" s="12" t="s">
        <v>1129</v>
      </c>
      <c r="R140" s="9">
        <v>6899</v>
      </c>
      <c r="S140" s="3" t="s">
        <v>487</v>
      </c>
      <c r="T140" s="3" t="s">
        <v>92</v>
      </c>
      <c r="U140" s="4" t="s">
        <v>898</v>
      </c>
      <c r="V140" s="1" t="s">
        <v>984</v>
      </c>
      <c r="W140" s="12">
        <v>90</v>
      </c>
      <c r="X140" s="9">
        <v>48277</v>
      </c>
      <c r="Y140" s="8">
        <v>15</v>
      </c>
      <c r="Z140" s="44">
        <v>0</v>
      </c>
      <c r="AA140" s="8">
        <v>100</v>
      </c>
      <c r="AB140" s="8">
        <v>6</v>
      </c>
      <c r="AC140" s="8">
        <v>5</v>
      </c>
      <c r="AD140" s="12">
        <v>18.09</v>
      </c>
      <c r="AE140" s="8">
        <v>0</v>
      </c>
      <c r="AF140" s="14">
        <v>0</v>
      </c>
      <c r="AG140" s="8" t="s">
        <v>386</v>
      </c>
      <c r="AH140" s="15" t="s">
        <v>960</v>
      </c>
      <c r="AI140" s="15" t="s">
        <v>1136</v>
      </c>
      <c r="AJ140" s="16">
        <v>193.32162225890121</v>
      </c>
      <c r="AK140" s="16">
        <v>63.19052110351332</v>
      </c>
      <c r="AL140" s="17">
        <f>(3102/B140)*100</f>
        <v>73.14312662107993</v>
      </c>
      <c r="AM140" s="43">
        <v>0.0707380334826692</v>
      </c>
      <c r="AN140" s="43">
        <v>0.141476066965338</v>
      </c>
    </row>
    <row r="141" spans="1:40" ht="12">
      <c r="A141" s="7" t="s">
        <v>866</v>
      </c>
      <c r="B141" s="17">
        <v>18543</v>
      </c>
      <c r="C141" s="8" t="s">
        <v>551</v>
      </c>
      <c r="D141" s="9" t="s">
        <v>758</v>
      </c>
      <c r="E141" s="10">
        <f t="shared" si="4"/>
        <v>11.398963730569948</v>
      </c>
      <c r="F141" s="9">
        <v>166900</v>
      </c>
      <c r="G141" s="9">
        <v>162500</v>
      </c>
      <c r="H141" s="10">
        <f t="shared" si="5"/>
        <v>2.707692307692308</v>
      </c>
      <c r="I141" s="11">
        <v>13.28</v>
      </c>
      <c r="J141" s="9">
        <v>73418</v>
      </c>
      <c r="K141" s="9">
        <v>306</v>
      </c>
      <c r="L141" s="9">
        <v>292</v>
      </c>
      <c r="M141" s="12">
        <v>36.9</v>
      </c>
      <c r="N141" s="12">
        <v>14.2</v>
      </c>
      <c r="O141" s="12">
        <v>878</v>
      </c>
      <c r="P141" s="12">
        <v>32.73</v>
      </c>
      <c r="Q141" s="12">
        <v>58</v>
      </c>
      <c r="R141" s="9">
        <v>8967</v>
      </c>
      <c r="S141" s="3" t="s">
        <v>109</v>
      </c>
      <c r="T141" s="3" t="s">
        <v>166</v>
      </c>
      <c r="U141" s="4" t="s">
        <v>1022</v>
      </c>
      <c r="V141" s="8" t="s">
        <v>1122</v>
      </c>
      <c r="W141" s="12">
        <v>88</v>
      </c>
      <c r="X141" s="9">
        <v>51590</v>
      </c>
      <c r="Y141" s="8">
        <v>13</v>
      </c>
      <c r="Z141" s="44">
        <v>0</v>
      </c>
      <c r="AA141" s="8">
        <v>100</v>
      </c>
      <c r="AB141" s="8">
        <v>4</v>
      </c>
      <c r="AC141" s="8">
        <v>22</v>
      </c>
      <c r="AD141" s="12">
        <v>21.4</v>
      </c>
      <c r="AE141" s="8">
        <v>5</v>
      </c>
      <c r="AF141" s="14">
        <v>0.4878048780487805</v>
      </c>
      <c r="AG141" s="8" t="s">
        <v>386</v>
      </c>
      <c r="AH141" s="15" t="s">
        <v>253</v>
      </c>
      <c r="AI141" s="15" t="s">
        <v>608</v>
      </c>
      <c r="AJ141" s="16">
        <v>175.63398587067897</v>
      </c>
      <c r="AK141" s="16">
        <v>49.76352262309227</v>
      </c>
      <c r="AL141" s="17">
        <f>(11532/B141)*100</f>
        <v>62.190584047888684</v>
      </c>
      <c r="AM141" s="43">
        <v>0.156393248125977</v>
      </c>
      <c r="AN141" s="43">
        <v>0.204929083751281</v>
      </c>
    </row>
    <row r="142" spans="1:40" ht="12">
      <c r="A142" s="7" t="s">
        <v>867</v>
      </c>
      <c r="B142" s="17">
        <v>21249</v>
      </c>
      <c r="C142" s="8" t="s">
        <v>711</v>
      </c>
      <c r="D142" s="9" t="s">
        <v>759</v>
      </c>
      <c r="E142" s="10">
        <f t="shared" si="4"/>
        <v>9.822769600480624</v>
      </c>
      <c r="F142" s="9">
        <v>359950</v>
      </c>
      <c r="G142" s="9">
        <v>354900</v>
      </c>
      <c r="H142" s="10">
        <f t="shared" si="5"/>
        <v>1.4229360383206537</v>
      </c>
      <c r="I142" s="11">
        <v>14.51</v>
      </c>
      <c r="J142" s="9">
        <v>98272</v>
      </c>
      <c r="K142" s="9">
        <v>288</v>
      </c>
      <c r="L142" s="9" t="s">
        <v>1129</v>
      </c>
      <c r="M142" s="12">
        <v>36.9</v>
      </c>
      <c r="N142" s="12">
        <v>7.2</v>
      </c>
      <c r="O142" s="12">
        <v>678</v>
      </c>
      <c r="P142" s="12">
        <v>34.97</v>
      </c>
      <c r="Q142" s="12" t="s">
        <v>1129</v>
      </c>
      <c r="R142" s="9">
        <v>7370</v>
      </c>
      <c r="S142" s="3" t="s">
        <v>110</v>
      </c>
      <c r="T142" s="3" t="s">
        <v>167</v>
      </c>
      <c r="U142" s="4" t="s">
        <v>897</v>
      </c>
      <c r="V142" s="8" t="s">
        <v>1123</v>
      </c>
      <c r="W142" s="12">
        <v>94</v>
      </c>
      <c r="X142" s="9">
        <v>50907</v>
      </c>
      <c r="Y142" s="8">
        <v>14</v>
      </c>
      <c r="Z142" s="44">
        <v>0.5</v>
      </c>
      <c r="AA142" s="8">
        <v>100</v>
      </c>
      <c r="AB142" s="8">
        <v>5</v>
      </c>
      <c r="AC142" s="8">
        <v>38</v>
      </c>
      <c r="AD142" s="12">
        <v>9.02</v>
      </c>
      <c r="AE142" s="8">
        <v>2</v>
      </c>
      <c r="AF142" s="14">
        <v>0.19607843137254902</v>
      </c>
      <c r="AG142" s="8" t="s">
        <v>386</v>
      </c>
      <c r="AH142" s="15" t="s">
        <v>595</v>
      </c>
      <c r="AI142" s="15" t="s">
        <v>609</v>
      </c>
      <c r="AJ142" s="16">
        <v>245.69367970257423</v>
      </c>
      <c r="AK142" s="16">
        <v>65.47268106734434</v>
      </c>
      <c r="AL142" s="17">
        <f>(14445/B142)*100</f>
        <v>67.97966963151208</v>
      </c>
      <c r="AM142" s="43">
        <v>0.122358699232905</v>
      </c>
      <c r="AN142" s="43">
        <v>0.122358699232905</v>
      </c>
    </row>
    <row r="143" spans="1:40" ht="12">
      <c r="A143" s="7" t="s">
        <v>359</v>
      </c>
      <c r="B143" s="17">
        <v>11652</v>
      </c>
      <c r="C143" s="8" t="s">
        <v>712</v>
      </c>
      <c r="D143" s="9" t="s">
        <v>760</v>
      </c>
      <c r="E143" s="10">
        <f t="shared" si="4"/>
        <v>12.186588921282798</v>
      </c>
      <c r="F143" s="9">
        <v>520000</v>
      </c>
      <c r="G143" s="9">
        <v>690000</v>
      </c>
      <c r="H143" s="10">
        <f t="shared" si="5"/>
        <v>-24.637681159420293</v>
      </c>
      <c r="I143" s="11">
        <v>10.15</v>
      </c>
      <c r="J143" s="9">
        <v>153918</v>
      </c>
      <c r="K143" s="9">
        <v>208</v>
      </c>
      <c r="L143" s="9" t="s">
        <v>1129</v>
      </c>
      <c r="M143" s="12">
        <v>41.9</v>
      </c>
      <c r="N143" s="12">
        <v>11.4</v>
      </c>
      <c r="O143" s="12">
        <v>675</v>
      </c>
      <c r="P143" s="12">
        <v>14.73</v>
      </c>
      <c r="Q143" s="12" t="s">
        <v>1129</v>
      </c>
      <c r="R143" s="9">
        <v>11404</v>
      </c>
      <c r="S143" s="3" t="s">
        <v>111</v>
      </c>
      <c r="T143" s="3" t="s">
        <v>168</v>
      </c>
      <c r="U143" s="4" t="s">
        <v>896</v>
      </c>
      <c r="V143" s="1" t="s">
        <v>1124</v>
      </c>
      <c r="W143" s="12">
        <v>94</v>
      </c>
      <c r="X143" s="9">
        <v>54629</v>
      </c>
      <c r="Y143" s="8">
        <v>13</v>
      </c>
      <c r="Z143" s="44">
        <v>0</v>
      </c>
      <c r="AA143" s="8">
        <v>100</v>
      </c>
      <c r="AB143" s="8">
        <v>4</v>
      </c>
      <c r="AC143" s="8">
        <v>17</v>
      </c>
      <c r="AD143" s="12">
        <v>10.24</v>
      </c>
      <c r="AE143" s="8">
        <v>0</v>
      </c>
      <c r="AF143" s="14">
        <v>0.23529411764705882</v>
      </c>
      <c r="AG143" s="8" t="s">
        <v>386</v>
      </c>
      <c r="AH143" s="15" t="s">
        <v>942</v>
      </c>
      <c r="AI143" s="15" t="s">
        <v>1133</v>
      </c>
      <c r="AJ143" s="16">
        <v>405.75454857535186</v>
      </c>
      <c r="AK143" s="16">
        <v>134.70717473395126</v>
      </c>
      <c r="AL143" s="17">
        <f>(7752/B143)*100</f>
        <v>66.52935118434603</v>
      </c>
      <c r="AM143" s="43">
        <v>0.137315482320632</v>
      </c>
      <c r="AN143" s="43">
        <v>0.197391005835908</v>
      </c>
    </row>
    <row r="144" spans="1:40" ht="12">
      <c r="A144" s="7" t="s">
        <v>360</v>
      </c>
      <c r="B144" s="17">
        <v>14181</v>
      </c>
      <c r="C144" s="8" t="s">
        <v>845</v>
      </c>
      <c r="D144" s="9" t="s">
        <v>761</v>
      </c>
      <c r="E144" s="10">
        <f t="shared" si="4"/>
        <v>8.493490390576564</v>
      </c>
      <c r="F144" s="9" t="s">
        <v>1129</v>
      </c>
      <c r="G144" s="9" t="s">
        <v>1129</v>
      </c>
      <c r="H144" s="10" t="s">
        <v>1129</v>
      </c>
      <c r="I144" s="11">
        <v>11.45</v>
      </c>
      <c r="J144" s="9">
        <v>87394</v>
      </c>
      <c r="K144" s="9">
        <v>502</v>
      </c>
      <c r="L144" s="9">
        <v>710</v>
      </c>
      <c r="M144" s="12">
        <v>41</v>
      </c>
      <c r="N144" s="12">
        <v>4.7</v>
      </c>
      <c r="O144" s="12">
        <v>1283</v>
      </c>
      <c r="P144" s="12">
        <v>22.39</v>
      </c>
      <c r="Q144" s="12" t="s">
        <v>1129</v>
      </c>
      <c r="R144" s="9">
        <v>9564</v>
      </c>
      <c r="S144" s="3" t="s">
        <v>112</v>
      </c>
      <c r="T144" s="3" t="s">
        <v>169</v>
      </c>
      <c r="U144" s="4" t="s">
        <v>896</v>
      </c>
      <c r="V144" s="1" t="s">
        <v>1125</v>
      </c>
      <c r="W144" s="12">
        <v>93</v>
      </c>
      <c r="X144" s="9">
        <v>51045</v>
      </c>
      <c r="Y144" s="8">
        <v>13</v>
      </c>
      <c r="Z144" s="44">
        <v>0</v>
      </c>
      <c r="AA144" s="8">
        <v>100</v>
      </c>
      <c r="AB144" s="8">
        <v>5</v>
      </c>
      <c r="AC144" s="8">
        <v>27</v>
      </c>
      <c r="AD144" s="12">
        <v>6.85</v>
      </c>
      <c r="AE144" s="8">
        <v>0</v>
      </c>
      <c r="AF144" s="14">
        <v>0.5454545454545454</v>
      </c>
      <c r="AG144" s="8" t="s">
        <v>385</v>
      </c>
      <c r="AH144" s="15" t="s">
        <v>949</v>
      </c>
      <c r="AI144" s="15" t="s">
        <v>610</v>
      </c>
      <c r="AJ144" s="16">
        <v>306.5590578943657</v>
      </c>
      <c r="AK144" s="16">
        <v>70.94415062407447</v>
      </c>
      <c r="AL144" s="17">
        <f>(9673/B144)*100</f>
        <v>68.21098653127424</v>
      </c>
      <c r="AM144" s="43">
        <v>0.260912488541006</v>
      </c>
      <c r="AN144" s="43">
        <v>0.282067555179466</v>
      </c>
    </row>
    <row r="145" spans="1:40" ht="12">
      <c r="A145" s="7" t="s">
        <v>402</v>
      </c>
      <c r="B145" s="17">
        <v>54754</v>
      </c>
      <c r="C145" s="8" t="s">
        <v>860</v>
      </c>
      <c r="D145" s="9" t="s">
        <v>873</v>
      </c>
      <c r="E145" s="10">
        <f t="shared" si="4"/>
        <v>9.060402684563758</v>
      </c>
      <c r="F145" s="9">
        <v>208875</v>
      </c>
      <c r="G145" s="9">
        <v>173500</v>
      </c>
      <c r="H145" s="10">
        <f t="shared" si="5"/>
        <v>20.389048991354468</v>
      </c>
      <c r="I145" s="11">
        <v>12.33</v>
      </c>
      <c r="J145" s="9">
        <v>51665</v>
      </c>
      <c r="K145" s="9">
        <v>389</v>
      </c>
      <c r="L145" s="9">
        <v>643</v>
      </c>
      <c r="M145" s="12">
        <v>38.4</v>
      </c>
      <c r="N145" s="12">
        <v>6</v>
      </c>
      <c r="O145" s="12">
        <v>3176</v>
      </c>
      <c r="P145" s="12">
        <v>17.7</v>
      </c>
      <c r="Q145" s="12">
        <v>27</v>
      </c>
      <c r="R145" s="9">
        <v>7386</v>
      </c>
      <c r="S145" s="3" t="s">
        <v>113</v>
      </c>
      <c r="T145" s="3" t="s">
        <v>170</v>
      </c>
      <c r="U145" s="4" t="s">
        <v>895</v>
      </c>
      <c r="V145" s="8" t="s">
        <v>967</v>
      </c>
      <c r="W145" s="12">
        <v>69</v>
      </c>
      <c r="X145" s="9">
        <v>51236</v>
      </c>
      <c r="Y145" s="8">
        <v>14</v>
      </c>
      <c r="Z145" s="44">
        <v>4.1</v>
      </c>
      <c r="AA145" s="8">
        <v>98</v>
      </c>
      <c r="AB145" s="8">
        <v>8</v>
      </c>
      <c r="AC145" s="8">
        <v>35</v>
      </c>
      <c r="AD145" s="12">
        <v>10.77</v>
      </c>
      <c r="AE145" s="8">
        <v>5</v>
      </c>
      <c r="AF145" s="14">
        <v>1.0588235294117647</v>
      </c>
      <c r="AG145" s="8" t="s">
        <v>385</v>
      </c>
      <c r="AH145" s="15" t="s">
        <v>1129</v>
      </c>
      <c r="AI145" s="15" t="s">
        <v>1129</v>
      </c>
      <c r="AJ145" s="16">
        <v>280.37648390985134</v>
      </c>
      <c r="AK145" s="16">
        <v>31.70740037257552</v>
      </c>
      <c r="AL145" s="17">
        <f>(34807/B145)*100</f>
        <v>63.569784855900934</v>
      </c>
      <c r="AM145" s="43">
        <v>0.248383679731161</v>
      </c>
      <c r="AN145" s="43">
        <v>0.248383679731161</v>
      </c>
    </row>
    <row r="146" spans="1:40" ht="12">
      <c r="A146" s="7" t="s">
        <v>266</v>
      </c>
      <c r="B146" s="17">
        <v>14341</v>
      </c>
      <c r="C146" s="8" t="s">
        <v>713</v>
      </c>
      <c r="D146" s="9" t="s">
        <v>883</v>
      </c>
      <c r="E146" s="10">
        <f t="shared" si="4"/>
        <v>11.320754716981133</v>
      </c>
      <c r="F146" s="9">
        <v>274000</v>
      </c>
      <c r="G146" s="9">
        <v>230000</v>
      </c>
      <c r="H146" s="10">
        <f t="shared" si="5"/>
        <v>19.130434782608695</v>
      </c>
      <c r="I146" s="11">
        <v>18.31</v>
      </c>
      <c r="J146" s="9">
        <v>55303</v>
      </c>
      <c r="K146" s="9">
        <v>448</v>
      </c>
      <c r="L146" s="9">
        <v>300</v>
      </c>
      <c r="M146" s="12">
        <v>34.7</v>
      </c>
      <c r="N146" s="12">
        <v>3.2</v>
      </c>
      <c r="O146" s="12">
        <v>1983</v>
      </c>
      <c r="P146" s="12">
        <v>23.03</v>
      </c>
      <c r="Q146" s="12">
        <v>36</v>
      </c>
      <c r="R146" s="9">
        <v>6980</v>
      </c>
      <c r="S146" s="3" t="s">
        <v>491</v>
      </c>
      <c r="T146" s="3" t="s">
        <v>326</v>
      </c>
      <c r="U146" s="4" t="s">
        <v>894</v>
      </c>
      <c r="V146" s="8" t="s">
        <v>987</v>
      </c>
      <c r="W146" s="12">
        <v>75</v>
      </c>
      <c r="X146" s="9">
        <v>50902</v>
      </c>
      <c r="Y146" s="8">
        <v>16</v>
      </c>
      <c r="Z146" s="44">
        <v>3.4</v>
      </c>
      <c r="AA146" s="8">
        <v>100</v>
      </c>
      <c r="AB146" s="8">
        <v>4</v>
      </c>
      <c r="AC146" s="8">
        <v>26</v>
      </c>
      <c r="AD146" s="12">
        <v>9.15</v>
      </c>
      <c r="AE146" s="8">
        <v>2</v>
      </c>
      <c r="AF146" s="14">
        <v>0.7142857142857143</v>
      </c>
      <c r="AG146" s="8" t="s">
        <v>385</v>
      </c>
      <c r="AH146" s="15" t="s">
        <v>1129</v>
      </c>
      <c r="AI146" s="15" t="s">
        <v>1129</v>
      </c>
      <c r="AJ146" s="16">
        <v>253.33317062966321</v>
      </c>
      <c r="AK146" s="16">
        <v>18.960184087581062</v>
      </c>
      <c r="AL146" s="17">
        <f>(9193/B146)*100</f>
        <v>64.1029216930479</v>
      </c>
      <c r="AM146" s="43">
        <v>0.230109476326616</v>
      </c>
      <c r="AN146" s="43">
        <v>0.146433303116937</v>
      </c>
    </row>
    <row r="147" spans="1:40" ht="12">
      <c r="A147" s="7" t="s">
        <v>267</v>
      </c>
      <c r="B147" s="17">
        <v>21629</v>
      </c>
      <c r="C147" s="8" t="s">
        <v>541</v>
      </c>
      <c r="D147" s="9" t="s">
        <v>477</v>
      </c>
      <c r="E147" s="10">
        <f t="shared" si="4"/>
        <v>2.898550724637681</v>
      </c>
      <c r="F147" s="9">
        <v>75000</v>
      </c>
      <c r="G147" s="9">
        <v>182000</v>
      </c>
      <c r="H147" s="10">
        <f t="shared" si="5"/>
        <v>-58.791208791208796</v>
      </c>
      <c r="I147" s="11">
        <v>13.41</v>
      </c>
      <c r="J147" s="9">
        <v>70652</v>
      </c>
      <c r="K147" s="9">
        <v>372</v>
      </c>
      <c r="L147" s="9">
        <v>390</v>
      </c>
      <c r="M147" s="12">
        <v>36.3</v>
      </c>
      <c r="N147" s="12">
        <v>4.2</v>
      </c>
      <c r="O147" s="12">
        <v>1249</v>
      </c>
      <c r="P147" s="12">
        <v>16.54</v>
      </c>
      <c r="Q147" s="12">
        <v>31</v>
      </c>
      <c r="R147" s="9">
        <v>7494</v>
      </c>
      <c r="S147" s="3" t="s">
        <v>114</v>
      </c>
      <c r="T147" s="3" t="s">
        <v>171</v>
      </c>
      <c r="U147" s="4" t="s">
        <v>893</v>
      </c>
      <c r="V147" s="8" t="s">
        <v>968</v>
      </c>
      <c r="W147" s="12">
        <v>85</v>
      </c>
      <c r="X147" s="9">
        <v>47489</v>
      </c>
      <c r="Y147" s="8">
        <v>15</v>
      </c>
      <c r="Z147" s="44">
        <v>4</v>
      </c>
      <c r="AA147" s="8">
        <v>100</v>
      </c>
      <c r="AB147" s="8">
        <v>5</v>
      </c>
      <c r="AC147" s="8">
        <v>43</v>
      </c>
      <c r="AD147" s="12">
        <v>12.06</v>
      </c>
      <c r="AE147" s="8">
        <v>5</v>
      </c>
      <c r="AF147" s="14">
        <v>1.1695906432748537</v>
      </c>
      <c r="AG147" s="8" t="s">
        <v>386</v>
      </c>
      <c r="AH147" s="15" t="s">
        <v>254</v>
      </c>
      <c r="AI147" s="15" t="s">
        <v>611</v>
      </c>
      <c r="AJ147" s="16">
        <v>243.12987193120347</v>
      </c>
      <c r="AK147" s="16">
        <v>50.41402746312821</v>
      </c>
      <c r="AL147" s="17">
        <f>(15026/B147)*100</f>
        <v>69.47154283600722</v>
      </c>
      <c r="AM147" s="43">
        <v>0.17569004577188</v>
      </c>
      <c r="AN147" s="43">
        <v>0.171066623514726</v>
      </c>
    </row>
    <row r="148" spans="1:40" ht="12">
      <c r="A148" s="7" t="s">
        <v>268</v>
      </c>
      <c r="B148" s="17">
        <v>21093</v>
      </c>
      <c r="C148" s="8" t="s">
        <v>1126</v>
      </c>
      <c r="D148" s="9" t="s">
        <v>762</v>
      </c>
      <c r="E148" s="10">
        <f t="shared" si="4"/>
        <v>0.14947683109118087</v>
      </c>
      <c r="F148" s="9">
        <v>384085</v>
      </c>
      <c r="G148" s="9">
        <v>350000</v>
      </c>
      <c r="H148" s="10">
        <f t="shared" si="5"/>
        <v>9.738571428571428</v>
      </c>
      <c r="I148" s="11">
        <v>11.38</v>
      </c>
      <c r="J148" s="9">
        <v>94049</v>
      </c>
      <c r="K148" s="9">
        <v>244.8</v>
      </c>
      <c r="L148" s="9">
        <v>259.8</v>
      </c>
      <c r="M148" s="12">
        <v>41.1</v>
      </c>
      <c r="N148" s="12">
        <v>7.6</v>
      </c>
      <c r="O148" s="12">
        <v>3468</v>
      </c>
      <c r="P148" s="12">
        <v>9.04</v>
      </c>
      <c r="Q148" s="12">
        <v>20</v>
      </c>
      <c r="R148" s="9">
        <v>8278</v>
      </c>
      <c r="S148" s="3" t="s">
        <v>115</v>
      </c>
      <c r="T148" s="3" t="s">
        <v>172</v>
      </c>
      <c r="U148" s="4" t="s">
        <v>1031</v>
      </c>
      <c r="V148" s="1" t="s">
        <v>969</v>
      </c>
      <c r="W148" s="12">
        <v>87</v>
      </c>
      <c r="X148" s="9">
        <v>54152</v>
      </c>
      <c r="Y148" s="8">
        <v>14</v>
      </c>
      <c r="Z148" s="44">
        <v>0.2</v>
      </c>
      <c r="AA148" s="8">
        <v>69</v>
      </c>
      <c r="AB148" s="8">
        <v>7</v>
      </c>
      <c r="AC148" s="8">
        <v>22</v>
      </c>
      <c r="AD148" s="12">
        <v>16.13</v>
      </c>
      <c r="AE148" s="8">
        <v>1</v>
      </c>
      <c r="AF148" s="14">
        <v>0.6666666666666666</v>
      </c>
      <c r="AG148" s="8" t="s">
        <v>386</v>
      </c>
      <c r="AH148" s="15" t="s">
        <v>595</v>
      </c>
      <c r="AI148" s="15" t="s">
        <v>612</v>
      </c>
      <c r="AJ148" s="16">
        <v>284.1556914616223</v>
      </c>
      <c r="AK148" s="16">
        <v>63.96975299862514</v>
      </c>
      <c r="AL148" s="17">
        <f>(14640/B148)*100</f>
        <v>69.40691224576874</v>
      </c>
      <c r="AM148" s="43">
        <v>0.260750011852273</v>
      </c>
      <c r="AN148" s="43">
        <v>0.260750011852273</v>
      </c>
    </row>
    <row r="149" spans="1:40" ht="12">
      <c r="A149" s="7" t="s">
        <v>269</v>
      </c>
      <c r="B149" s="17">
        <v>18235</v>
      </c>
      <c r="C149" s="8" t="s">
        <v>541</v>
      </c>
      <c r="D149" s="9" t="s">
        <v>763</v>
      </c>
      <c r="E149" s="10">
        <f t="shared" si="4"/>
        <v>4.258443465491924</v>
      </c>
      <c r="F149" s="9">
        <v>205000</v>
      </c>
      <c r="G149" s="9">
        <v>186000</v>
      </c>
      <c r="H149" s="10">
        <f t="shared" si="5"/>
        <v>10.21505376344086</v>
      </c>
      <c r="I149" s="11">
        <v>10.25</v>
      </c>
      <c r="J149" s="9">
        <v>53122</v>
      </c>
      <c r="K149" s="9">
        <v>320.4</v>
      </c>
      <c r="L149" s="9">
        <v>621.6</v>
      </c>
      <c r="M149" s="12">
        <v>39.9</v>
      </c>
      <c r="N149" s="12">
        <v>7</v>
      </c>
      <c r="O149" s="12">
        <v>9152</v>
      </c>
      <c r="P149" s="12">
        <v>5.36</v>
      </c>
      <c r="Q149" s="12" t="s">
        <v>1129</v>
      </c>
      <c r="R149" s="9">
        <v>7084</v>
      </c>
      <c r="S149" s="3" t="s">
        <v>116</v>
      </c>
      <c r="T149" s="3" t="s">
        <v>173</v>
      </c>
      <c r="U149" s="4" t="s">
        <v>1040</v>
      </c>
      <c r="V149" s="8" t="s">
        <v>970</v>
      </c>
      <c r="W149" s="12">
        <v>64</v>
      </c>
      <c r="X149" s="9">
        <v>41549</v>
      </c>
      <c r="Y149" s="8">
        <v>14</v>
      </c>
      <c r="Z149" s="44">
        <v>0</v>
      </c>
      <c r="AA149" s="8">
        <v>100</v>
      </c>
      <c r="AB149" s="8">
        <v>6</v>
      </c>
      <c r="AC149" s="8">
        <v>12</v>
      </c>
      <c r="AD149" s="12">
        <v>20.58</v>
      </c>
      <c r="AE149" s="8">
        <v>0</v>
      </c>
      <c r="AF149" s="14">
        <v>0.5</v>
      </c>
      <c r="AG149" s="8" t="s">
        <v>387</v>
      </c>
      <c r="AH149" s="15" t="s">
        <v>255</v>
      </c>
      <c r="AI149" s="15" t="s">
        <v>613</v>
      </c>
      <c r="AJ149" s="16">
        <v>203.46569783383603</v>
      </c>
      <c r="AK149" s="16">
        <v>33.08966273649575</v>
      </c>
      <c r="AL149" s="17">
        <f>(11937/B149)*100</f>
        <v>65.46202358102549</v>
      </c>
      <c r="AM149" s="43">
        <v>0.296133808609816</v>
      </c>
      <c r="AN149" s="43">
        <v>0.252262133260214</v>
      </c>
    </row>
    <row r="150" spans="1:40" ht="12">
      <c r="A150" s="7" t="s">
        <v>270</v>
      </c>
      <c r="B150" s="17">
        <v>38003</v>
      </c>
      <c r="C150" s="8" t="s">
        <v>593</v>
      </c>
      <c r="D150" s="9" t="s">
        <v>764</v>
      </c>
      <c r="E150" s="10">
        <f t="shared" si="4"/>
        <v>8.761329305135952</v>
      </c>
      <c r="F150" s="9">
        <v>270000</v>
      </c>
      <c r="G150" s="9">
        <v>278000</v>
      </c>
      <c r="H150" s="10">
        <f t="shared" si="5"/>
        <v>-2.877697841726619</v>
      </c>
      <c r="I150" s="11">
        <v>8.43</v>
      </c>
      <c r="J150" s="9">
        <v>54897</v>
      </c>
      <c r="K150" s="9">
        <v>136</v>
      </c>
      <c r="L150" s="9">
        <v>234</v>
      </c>
      <c r="M150" s="12">
        <v>37.7</v>
      </c>
      <c r="N150" s="12">
        <v>11</v>
      </c>
      <c r="O150" s="12">
        <v>2934</v>
      </c>
      <c r="P150" s="12">
        <v>11.95</v>
      </c>
      <c r="Q150" s="12">
        <v>27</v>
      </c>
      <c r="R150" s="9">
        <v>9087</v>
      </c>
      <c r="S150" s="3" t="s">
        <v>117</v>
      </c>
      <c r="T150" s="3" t="s">
        <v>174</v>
      </c>
      <c r="U150" s="4" t="s">
        <v>1039</v>
      </c>
      <c r="V150" s="8" t="s">
        <v>371</v>
      </c>
      <c r="W150" s="12">
        <v>79</v>
      </c>
      <c r="X150" s="9">
        <v>53949</v>
      </c>
      <c r="Y150" s="8">
        <v>13</v>
      </c>
      <c r="Z150" s="44">
        <v>1.9</v>
      </c>
      <c r="AA150" s="8">
        <v>90</v>
      </c>
      <c r="AB150" s="8">
        <v>4</v>
      </c>
      <c r="AC150" s="8">
        <v>54</v>
      </c>
      <c r="AD150" s="12">
        <v>13.25</v>
      </c>
      <c r="AE150" s="8">
        <v>14</v>
      </c>
      <c r="AF150" s="14">
        <v>1.8110236220472442</v>
      </c>
      <c r="AG150" s="8" t="s">
        <v>386</v>
      </c>
      <c r="AH150" s="15" t="s">
        <v>256</v>
      </c>
      <c r="AI150" s="15" t="s">
        <v>614</v>
      </c>
      <c r="AJ150" s="16">
        <v>320.30468647212064</v>
      </c>
      <c r="AK150" s="16">
        <v>34.92371654869353</v>
      </c>
      <c r="AL150" s="17">
        <f>(23399/B150)*100</f>
        <v>61.57145488514064</v>
      </c>
      <c r="AM150" s="43">
        <v>0.239454779885798</v>
      </c>
      <c r="AN150" s="43">
        <v>0.236823408678262</v>
      </c>
    </row>
    <row r="151" spans="1:40" ht="12">
      <c r="A151" s="7" t="s">
        <v>271</v>
      </c>
      <c r="B151" s="17">
        <v>10951</v>
      </c>
      <c r="C151" s="8" t="s">
        <v>1127</v>
      </c>
      <c r="D151" s="9" t="s">
        <v>593</v>
      </c>
      <c r="E151" s="10">
        <f t="shared" si="4"/>
        <v>16.666666666666664</v>
      </c>
      <c r="F151" s="9">
        <v>239750</v>
      </c>
      <c r="G151" s="9">
        <v>205000</v>
      </c>
      <c r="H151" s="10">
        <f t="shared" si="5"/>
        <v>16.951219512195124</v>
      </c>
      <c r="I151" s="11">
        <v>13.57</v>
      </c>
      <c r="J151" s="9">
        <v>78043</v>
      </c>
      <c r="K151" s="9">
        <v>342</v>
      </c>
      <c r="L151" s="9" t="s">
        <v>1129</v>
      </c>
      <c r="M151" s="12">
        <v>38.6</v>
      </c>
      <c r="N151" s="12">
        <v>2.9</v>
      </c>
      <c r="O151" s="12">
        <v>475</v>
      </c>
      <c r="P151" s="12">
        <v>31.67</v>
      </c>
      <c r="Q151" s="12" t="s">
        <v>1129</v>
      </c>
      <c r="R151" s="2">
        <v>7457</v>
      </c>
      <c r="S151" s="3" t="s">
        <v>118</v>
      </c>
      <c r="T151" s="3" t="s">
        <v>31</v>
      </c>
      <c r="U151" s="4" t="s">
        <v>1038</v>
      </c>
      <c r="V151" s="1" t="s">
        <v>1092</v>
      </c>
      <c r="W151" s="12">
        <v>73</v>
      </c>
      <c r="X151" s="2">
        <v>51722</v>
      </c>
      <c r="Y151" s="8">
        <v>16</v>
      </c>
      <c r="Z151" s="44">
        <v>2</v>
      </c>
      <c r="AA151" s="8">
        <v>100</v>
      </c>
      <c r="AB151" s="8">
        <v>5</v>
      </c>
      <c r="AC151" s="8">
        <v>19</v>
      </c>
      <c r="AD151" s="12">
        <v>13.62</v>
      </c>
      <c r="AE151" s="8">
        <v>2</v>
      </c>
      <c r="AF151" s="14">
        <v>0.1801801801801802</v>
      </c>
      <c r="AG151" s="8" t="s">
        <v>385</v>
      </c>
      <c r="AH151" s="15" t="s">
        <v>960</v>
      </c>
      <c r="AI151" s="15" t="s">
        <v>252</v>
      </c>
      <c r="AJ151" s="16">
        <v>240.30307734453476</v>
      </c>
      <c r="AK151" s="16">
        <v>32.80166194868048</v>
      </c>
      <c r="AL151" s="17">
        <f>(7142/B151)*100</f>
        <v>65.2177883298329</v>
      </c>
      <c r="AM151" s="43">
        <v>0.155236964660762</v>
      </c>
      <c r="AN151" s="43">
        <v>0.219158067756369</v>
      </c>
    </row>
    <row r="152" spans="2:40" ht="12">
      <c r="B152" s="8"/>
      <c r="C152" s="8"/>
      <c r="D152" s="9"/>
      <c r="E152" s="12"/>
      <c r="F152" s="9"/>
      <c r="G152" s="9"/>
      <c r="H152" s="9"/>
      <c r="I152" s="11"/>
      <c r="J152" s="9"/>
      <c r="K152" s="9"/>
      <c r="L152" s="9"/>
      <c r="M152" s="12"/>
      <c r="N152" s="12"/>
      <c r="O152" s="12"/>
      <c r="P152" s="12"/>
      <c r="Q152" s="12"/>
      <c r="R152" s="9"/>
      <c r="S152" s="3"/>
      <c r="T152" s="12"/>
      <c r="U152" s="19"/>
      <c r="V152" s="20"/>
      <c r="W152" s="12"/>
      <c r="X152" s="9"/>
      <c r="Y152" s="8"/>
      <c r="Z152" s="13"/>
      <c r="AA152" s="8"/>
      <c r="AB152" s="8"/>
      <c r="AC152" s="8"/>
      <c r="AD152" s="12"/>
      <c r="AE152" s="8"/>
      <c r="AF152" s="14"/>
      <c r="AG152" s="8"/>
      <c r="AH152" s="15"/>
      <c r="AI152" s="8"/>
      <c r="AJ152" s="9"/>
      <c r="AK152" s="9"/>
      <c r="AL152" s="17"/>
      <c r="AM152" s="5"/>
      <c r="AN152" s="5"/>
    </row>
    <row r="153" spans="2:40" ht="12">
      <c r="B153" s="8"/>
      <c r="C153" s="8"/>
      <c r="D153" s="9"/>
      <c r="E153" s="12"/>
      <c r="F153" s="9"/>
      <c r="G153" s="9"/>
      <c r="H153" s="9"/>
      <c r="I153" s="11"/>
      <c r="J153" s="9"/>
      <c r="K153" s="9"/>
      <c r="L153" s="9"/>
      <c r="M153" s="12"/>
      <c r="N153" s="12"/>
      <c r="O153" s="12"/>
      <c r="P153" s="12"/>
      <c r="Q153" s="12"/>
      <c r="R153" s="9"/>
      <c r="S153" s="3"/>
      <c r="T153" s="12"/>
      <c r="U153" s="8"/>
      <c r="V153" s="20"/>
      <c r="W153" s="12"/>
      <c r="X153" s="9"/>
      <c r="Y153" s="8"/>
      <c r="Z153" s="13"/>
      <c r="AA153" s="8"/>
      <c r="AB153" s="8"/>
      <c r="AC153" s="8"/>
      <c r="AD153" s="12"/>
      <c r="AE153" s="8"/>
      <c r="AF153" s="14"/>
      <c r="AG153" s="8"/>
      <c r="AH153" s="15"/>
      <c r="AI153" s="8"/>
      <c r="AJ153" s="9"/>
      <c r="AK153" s="9"/>
      <c r="AL153" s="17"/>
      <c r="AM153" s="5"/>
      <c r="AN153" s="5"/>
    </row>
    <row r="154" spans="2:34" ht="12">
      <c r="B154" s="8"/>
      <c r="C154" s="8"/>
      <c r="D154" s="9"/>
      <c r="E154" s="12"/>
      <c r="F154" s="9"/>
      <c r="G154" s="9"/>
      <c r="H154" s="9"/>
      <c r="I154" s="11"/>
      <c r="J154" s="9"/>
      <c r="K154" s="9"/>
      <c r="L154" s="21"/>
      <c r="S154" s="24"/>
      <c r="Y154" s="25"/>
      <c r="AE154" s="25"/>
      <c r="AG154" s="25"/>
      <c r="AH154" s="29"/>
    </row>
    <row r="155" spans="19:34" ht="12">
      <c r="S155" s="24"/>
      <c r="Y155" s="25"/>
      <c r="AE155" s="25"/>
      <c r="AG155" s="25"/>
      <c r="AH155" s="29"/>
    </row>
    <row r="156" spans="19:34" ht="12">
      <c r="S156" s="24"/>
      <c r="Y156" s="25"/>
      <c r="AE156" s="25"/>
      <c r="AG156" s="25"/>
      <c r="AH156" s="29"/>
    </row>
    <row r="157" spans="19:34" ht="12">
      <c r="S157" s="24"/>
      <c r="Y157" s="25"/>
      <c r="AE157" s="25"/>
      <c r="AG157" s="25"/>
      <c r="AH157" s="29"/>
    </row>
    <row r="158" spans="19:34" ht="12">
      <c r="S158" s="24"/>
      <c r="Y158" s="25"/>
      <c r="AE158" s="25"/>
      <c r="AG158" s="25"/>
      <c r="AH158" s="29"/>
    </row>
    <row r="159" spans="19:34" ht="12">
      <c r="S159" s="24"/>
      <c r="Y159" s="25"/>
      <c r="AE159" s="25"/>
      <c r="AG159" s="25"/>
      <c r="AH159" s="29"/>
    </row>
    <row r="160" spans="19:34" ht="12">
      <c r="S160" s="24"/>
      <c r="Y160" s="25"/>
      <c r="AE160" s="25"/>
      <c r="AG160" s="25"/>
      <c r="AH160" s="29"/>
    </row>
    <row r="161" spans="19:34" ht="12">
      <c r="S161" s="24"/>
      <c r="Y161" s="25"/>
      <c r="AE161" s="25"/>
      <c r="AG161" s="25"/>
      <c r="AH161" s="29"/>
    </row>
    <row r="162" spans="19:34" ht="12">
      <c r="S162" s="24"/>
      <c r="Y162" s="25"/>
      <c r="AE162" s="25"/>
      <c r="AG162" s="25"/>
      <c r="AH162" s="29"/>
    </row>
    <row r="163" spans="19:34" ht="12">
      <c r="S163" s="24"/>
      <c r="Y163" s="25"/>
      <c r="AE163" s="25"/>
      <c r="AG163" s="25"/>
      <c r="AH163" s="29"/>
    </row>
    <row r="164" spans="19:34" ht="12">
      <c r="S164" s="24"/>
      <c r="Y164" s="25"/>
      <c r="AE164" s="25"/>
      <c r="AG164" s="25"/>
      <c r="AH164" s="29"/>
    </row>
    <row r="165" spans="19:34" ht="12">
      <c r="S165" s="24"/>
      <c r="Y165" s="25"/>
      <c r="AE165" s="25"/>
      <c r="AG165" s="25"/>
      <c r="AH165" s="29"/>
    </row>
    <row r="166" spans="19:34" ht="12">
      <c r="S166" s="24"/>
      <c r="Y166" s="25"/>
      <c r="AE166" s="25"/>
      <c r="AG166" s="25"/>
      <c r="AH166" s="29"/>
    </row>
    <row r="167" spans="19:34" ht="12">
      <c r="S167" s="24"/>
      <c r="Y167" s="25"/>
      <c r="AE167" s="25"/>
      <c r="AG167" s="25"/>
      <c r="AH167" s="29"/>
    </row>
    <row r="168" spans="19:34" ht="12">
      <c r="S168" s="24"/>
      <c r="Y168" s="25"/>
      <c r="AE168" s="25"/>
      <c r="AG168" s="25"/>
      <c r="AH168" s="29"/>
    </row>
    <row r="169" spans="19:34" ht="12">
      <c r="S169" s="24"/>
      <c r="Y169" s="25"/>
      <c r="AE169" s="25"/>
      <c r="AG169" s="25"/>
      <c r="AH169" s="29"/>
    </row>
    <row r="170" spans="19:34" ht="12">
      <c r="S170" s="24"/>
      <c r="Y170" s="25"/>
      <c r="AE170" s="25"/>
      <c r="AG170" s="25"/>
      <c r="AH170" s="29"/>
    </row>
    <row r="171" spans="19:34" ht="12">
      <c r="S171" s="24"/>
      <c r="Y171" s="25"/>
      <c r="AE171" s="25"/>
      <c r="AG171" s="25"/>
      <c r="AH171" s="29"/>
    </row>
    <row r="172" spans="19:34" ht="12">
      <c r="S172" s="24"/>
      <c r="Y172" s="25"/>
      <c r="AE172" s="25"/>
      <c r="AG172" s="25"/>
      <c r="AH172" s="29"/>
    </row>
    <row r="173" spans="19:34" ht="12">
      <c r="S173" s="24"/>
      <c r="Y173" s="25"/>
      <c r="AE173" s="25"/>
      <c r="AG173" s="25"/>
      <c r="AH173" s="29"/>
    </row>
    <row r="174" spans="19:34" ht="12">
      <c r="S174" s="24"/>
      <c r="Y174" s="25"/>
      <c r="AE174" s="25"/>
      <c r="AG174" s="25"/>
      <c r="AH174" s="29"/>
    </row>
    <row r="175" spans="19:34" ht="12">
      <c r="S175" s="24"/>
      <c r="Y175" s="25"/>
      <c r="AE175" s="25"/>
      <c r="AG175" s="25"/>
      <c r="AH175" s="29"/>
    </row>
    <row r="176" spans="19:34" ht="12">
      <c r="S176" s="24"/>
      <c r="Y176" s="25"/>
      <c r="AE176" s="25"/>
      <c r="AG176" s="25"/>
      <c r="AH176" s="29"/>
    </row>
    <row r="177" spans="19:34" ht="12">
      <c r="S177" s="24"/>
      <c r="Y177" s="25"/>
      <c r="AE177" s="25"/>
      <c r="AG177" s="25"/>
      <c r="AH177" s="29"/>
    </row>
    <row r="178" spans="19:34" ht="12">
      <c r="S178" s="24"/>
      <c r="Y178" s="25"/>
      <c r="AE178" s="25"/>
      <c r="AG178" s="25"/>
      <c r="AH178" s="29"/>
    </row>
    <row r="179" spans="19:34" ht="12">
      <c r="S179" s="24"/>
      <c r="Y179" s="25"/>
      <c r="AE179" s="25"/>
      <c r="AG179" s="25"/>
      <c r="AH179" s="29"/>
    </row>
    <row r="180" spans="19:34" ht="12">
      <c r="S180" s="24"/>
      <c r="Y180" s="25"/>
      <c r="AE180" s="25"/>
      <c r="AG180" s="25"/>
      <c r="AH180" s="29"/>
    </row>
    <row r="181" spans="19:34" ht="12">
      <c r="S181" s="24"/>
      <c r="Y181" s="25"/>
      <c r="AE181" s="25"/>
      <c r="AG181" s="25"/>
      <c r="AH181" s="29"/>
    </row>
    <row r="182" spans="19:34" ht="12">
      <c r="S182" s="24"/>
      <c r="Y182" s="25"/>
      <c r="AE182" s="25"/>
      <c r="AG182" s="25"/>
      <c r="AH182" s="29"/>
    </row>
    <row r="183" spans="19:34" ht="12">
      <c r="S183" s="24"/>
      <c r="Y183" s="25"/>
      <c r="AE183" s="25"/>
      <c r="AG183" s="25"/>
      <c r="AH183" s="29"/>
    </row>
    <row r="184" spans="19:34" ht="12">
      <c r="S184" s="24"/>
      <c r="Y184" s="25"/>
      <c r="AE184" s="25"/>
      <c r="AG184" s="25"/>
      <c r="AH184" s="29"/>
    </row>
    <row r="185" spans="19:34" ht="12">
      <c r="S185" s="24"/>
      <c r="Y185" s="25"/>
      <c r="AE185" s="25"/>
      <c r="AG185" s="25"/>
      <c r="AH185" s="29"/>
    </row>
    <row r="186" spans="19:34" ht="12">
      <c r="S186" s="24"/>
      <c r="Y186" s="25"/>
      <c r="AE186" s="25"/>
      <c r="AG186" s="25"/>
      <c r="AH186" s="29"/>
    </row>
    <row r="187" spans="19:34" ht="12">
      <c r="S187" s="24"/>
      <c r="Y187" s="25"/>
      <c r="AE187" s="25"/>
      <c r="AG187" s="25"/>
      <c r="AH187" s="29"/>
    </row>
    <row r="188" spans="19:34" ht="12">
      <c r="S188" s="24"/>
      <c r="Y188" s="25"/>
      <c r="AE188" s="25"/>
      <c r="AG188" s="25"/>
      <c r="AH188" s="29"/>
    </row>
    <row r="189" spans="19:34" ht="12">
      <c r="S189" s="24"/>
      <c r="Y189" s="25"/>
      <c r="AE189" s="25"/>
      <c r="AG189" s="25"/>
      <c r="AH189" s="29"/>
    </row>
    <row r="190" spans="19:34" ht="12">
      <c r="S190" s="24"/>
      <c r="Y190" s="25"/>
      <c r="AE190" s="25"/>
      <c r="AG190" s="25"/>
      <c r="AH190" s="29"/>
    </row>
    <row r="191" spans="19:34" ht="12">
      <c r="S191" s="24"/>
      <c r="Y191" s="25"/>
      <c r="AE191" s="25"/>
      <c r="AG191" s="25"/>
      <c r="AH191" s="29"/>
    </row>
    <row r="192" spans="19:34" ht="12">
      <c r="S192" s="24"/>
      <c r="Y192" s="25"/>
      <c r="AE192" s="25"/>
      <c r="AG192" s="25"/>
      <c r="AH192" s="29"/>
    </row>
    <row r="193" spans="19:34" ht="12">
      <c r="S193" s="24"/>
      <c r="Y193" s="25"/>
      <c r="AE193" s="25"/>
      <c r="AG193" s="25"/>
      <c r="AH193" s="29"/>
    </row>
    <row r="194" spans="19:34" ht="12">
      <c r="S194" s="24"/>
      <c r="Y194" s="25"/>
      <c r="AE194" s="25"/>
      <c r="AG194" s="25"/>
      <c r="AH194" s="29"/>
    </row>
    <row r="195" spans="19:34" ht="12">
      <c r="S195" s="24"/>
      <c r="Y195" s="25"/>
      <c r="AE195" s="25"/>
      <c r="AG195" s="25"/>
      <c r="AH195" s="29"/>
    </row>
    <row r="196" spans="19:34" ht="12">
      <c r="S196" s="24"/>
      <c r="Y196" s="25"/>
      <c r="AE196" s="25"/>
      <c r="AG196" s="25"/>
      <c r="AH196" s="29"/>
    </row>
    <row r="197" spans="19:34" ht="12">
      <c r="S197" s="24"/>
      <c r="Y197" s="25"/>
      <c r="AE197" s="25"/>
      <c r="AG197" s="25"/>
      <c r="AH197" s="29"/>
    </row>
    <row r="198" spans="19:34" ht="12">
      <c r="S198" s="24"/>
      <c r="Y198" s="25"/>
      <c r="AE198" s="25"/>
      <c r="AG198" s="25"/>
      <c r="AH198" s="29"/>
    </row>
    <row r="199" spans="19:34" ht="12">
      <c r="S199" s="24"/>
      <c r="Y199" s="25"/>
      <c r="AE199" s="25"/>
      <c r="AG199" s="25"/>
      <c r="AH199" s="29"/>
    </row>
    <row r="200" spans="19:34" ht="12">
      <c r="S200" s="24"/>
      <c r="Y200" s="25"/>
      <c r="AE200" s="25"/>
      <c r="AG200" s="25"/>
      <c r="AH200" s="29"/>
    </row>
    <row r="201" spans="19:34" ht="12">
      <c r="S201" s="24"/>
      <c r="Y201" s="25"/>
      <c r="AE201" s="25"/>
      <c r="AG201" s="25"/>
      <c r="AH201" s="29"/>
    </row>
    <row r="202" spans="19:34" ht="12">
      <c r="S202" s="24"/>
      <c r="Y202" s="25"/>
      <c r="AE202" s="25"/>
      <c r="AG202" s="25"/>
      <c r="AH202" s="29"/>
    </row>
    <row r="203" spans="19:34" ht="12">
      <c r="S203" s="24"/>
      <c r="Y203" s="25"/>
      <c r="AE203" s="25"/>
      <c r="AG203" s="25"/>
      <c r="AH203" s="29"/>
    </row>
    <row r="204" spans="19:34" ht="12">
      <c r="S204" s="24"/>
      <c r="Y204" s="25"/>
      <c r="AE204" s="25"/>
      <c r="AG204" s="25"/>
      <c r="AH204" s="29"/>
    </row>
    <row r="205" spans="19:34" ht="12">
      <c r="S205" s="24"/>
      <c r="Y205" s="25"/>
      <c r="AE205" s="25"/>
      <c r="AG205" s="25"/>
      <c r="AH205" s="29"/>
    </row>
    <row r="206" spans="19:34" ht="12">
      <c r="S206" s="24"/>
      <c r="Y206" s="25"/>
      <c r="AE206" s="25"/>
      <c r="AG206" s="25"/>
      <c r="AH206" s="29"/>
    </row>
    <row r="207" spans="19:34" ht="12">
      <c r="S207" s="24"/>
      <c r="Y207" s="25"/>
      <c r="AE207" s="25"/>
      <c r="AG207" s="25"/>
      <c r="AH207" s="29"/>
    </row>
    <row r="208" spans="19:34" ht="12">
      <c r="S208" s="24"/>
      <c r="Y208" s="25"/>
      <c r="AE208" s="25"/>
      <c r="AG208" s="25"/>
      <c r="AH208" s="29"/>
    </row>
    <row r="209" spans="19:34" ht="12">
      <c r="S209" s="24"/>
      <c r="Y209" s="25"/>
      <c r="AE209" s="25"/>
      <c r="AG209" s="25"/>
      <c r="AH209" s="29"/>
    </row>
    <row r="210" spans="19:34" ht="12">
      <c r="S210" s="24"/>
      <c r="Y210" s="25"/>
      <c r="AE210" s="25"/>
      <c r="AG210" s="25"/>
      <c r="AH210" s="29"/>
    </row>
    <row r="211" spans="19:34" ht="12">
      <c r="S211" s="24"/>
      <c r="Y211" s="25"/>
      <c r="AE211" s="25"/>
      <c r="AG211" s="25"/>
      <c r="AH211" s="29"/>
    </row>
    <row r="212" spans="19:34" ht="12">
      <c r="S212" s="24"/>
      <c r="Y212" s="25"/>
      <c r="AE212" s="25"/>
      <c r="AG212" s="25"/>
      <c r="AH212" s="29"/>
    </row>
    <row r="213" spans="19:34" ht="12">
      <c r="S213" s="24"/>
      <c r="Y213" s="25"/>
      <c r="AE213" s="25"/>
      <c r="AG213" s="25"/>
      <c r="AH213" s="29"/>
    </row>
    <row r="214" spans="19:34" ht="12">
      <c r="S214" s="24"/>
      <c r="Y214" s="25"/>
      <c r="AE214" s="25"/>
      <c r="AG214" s="25"/>
      <c r="AH214" s="29"/>
    </row>
    <row r="215" spans="19:34" ht="12">
      <c r="S215" s="24"/>
      <c r="Y215" s="25"/>
      <c r="AE215" s="25"/>
      <c r="AG215" s="25"/>
      <c r="AH215" s="29"/>
    </row>
    <row r="216" spans="19:34" ht="12">
      <c r="S216" s="24"/>
      <c r="Y216" s="25"/>
      <c r="AE216" s="25"/>
      <c r="AG216" s="25"/>
      <c r="AH216" s="29"/>
    </row>
    <row r="217" spans="19:34" ht="12">
      <c r="S217" s="24"/>
      <c r="Y217" s="25"/>
      <c r="AE217" s="25"/>
      <c r="AG217" s="25"/>
      <c r="AH217" s="29"/>
    </row>
    <row r="218" spans="19:34" ht="12">
      <c r="S218" s="24"/>
      <c r="Y218" s="25"/>
      <c r="AE218" s="25"/>
      <c r="AG218" s="25"/>
      <c r="AH218" s="29"/>
    </row>
    <row r="219" spans="19:34" ht="12">
      <c r="S219" s="24"/>
      <c r="Y219" s="25"/>
      <c r="AE219" s="25"/>
      <c r="AG219" s="25"/>
      <c r="AH219" s="29"/>
    </row>
    <row r="220" spans="19:34" ht="12">
      <c r="S220" s="24"/>
      <c r="Y220" s="25"/>
      <c r="AE220" s="25"/>
      <c r="AG220" s="25"/>
      <c r="AH220" s="29"/>
    </row>
    <row r="221" spans="19:34" ht="12">
      <c r="S221" s="24"/>
      <c r="Y221" s="25"/>
      <c r="AE221" s="25"/>
      <c r="AG221" s="25"/>
      <c r="AH221" s="29"/>
    </row>
    <row r="222" spans="19:34" ht="12">
      <c r="S222" s="24"/>
      <c r="Y222" s="25"/>
      <c r="AE222" s="25"/>
      <c r="AG222" s="25"/>
      <c r="AH222" s="29"/>
    </row>
    <row r="223" spans="19:34" ht="12">
      <c r="S223" s="24"/>
      <c r="Y223" s="25"/>
      <c r="AE223" s="25"/>
      <c r="AG223" s="25"/>
      <c r="AH223" s="29"/>
    </row>
    <row r="224" spans="19:34" ht="12">
      <c r="S224" s="24"/>
      <c r="Y224" s="25"/>
      <c r="AE224" s="25"/>
      <c r="AG224" s="25"/>
      <c r="AH224" s="29"/>
    </row>
    <row r="225" spans="19:34" ht="12">
      <c r="S225" s="24"/>
      <c r="Y225" s="25"/>
      <c r="AE225" s="25"/>
      <c r="AG225" s="25"/>
      <c r="AH225" s="29"/>
    </row>
    <row r="226" spans="19:34" ht="12">
      <c r="S226" s="24"/>
      <c r="Y226" s="25"/>
      <c r="AE226" s="25"/>
      <c r="AG226" s="25"/>
      <c r="AH226" s="29"/>
    </row>
    <row r="227" spans="19:34" ht="12">
      <c r="S227" s="24"/>
      <c r="Y227" s="25"/>
      <c r="AE227" s="25"/>
      <c r="AG227" s="25"/>
      <c r="AH227" s="29"/>
    </row>
    <row r="228" spans="19:34" ht="12">
      <c r="S228" s="24"/>
      <c r="Y228" s="25"/>
      <c r="AE228" s="25"/>
      <c r="AG228" s="25"/>
      <c r="AH228" s="29"/>
    </row>
    <row r="229" spans="19:34" ht="12">
      <c r="S229" s="24"/>
      <c r="Y229" s="25"/>
      <c r="AE229" s="25"/>
      <c r="AG229" s="25"/>
      <c r="AH229" s="29"/>
    </row>
    <row r="230" spans="19:34" ht="12">
      <c r="S230" s="24"/>
      <c r="Y230" s="25"/>
      <c r="AE230" s="25"/>
      <c r="AG230" s="25"/>
      <c r="AH230" s="29"/>
    </row>
    <row r="231" spans="19:34" ht="12">
      <c r="S231" s="24"/>
      <c r="Y231" s="25"/>
      <c r="AE231" s="25"/>
      <c r="AG231" s="25"/>
      <c r="AH231" s="29"/>
    </row>
    <row r="232" spans="19:34" ht="12">
      <c r="S232" s="24"/>
      <c r="Y232" s="25"/>
      <c r="AE232" s="25"/>
      <c r="AG232" s="25"/>
      <c r="AH232" s="29"/>
    </row>
    <row r="233" spans="19:34" ht="12">
      <c r="S233" s="24"/>
      <c r="Y233" s="25"/>
      <c r="AE233" s="25"/>
      <c r="AG233" s="25"/>
      <c r="AH233" s="29"/>
    </row>
    <row r="234" spans="19:34" ht="12">
      <c r="S234" s="24"/>
      <c r="Y234" s="25"/>
      <c r="AE234" s="25"/>
      <c r="AG234" s="25"/>
      <c r="AH234" s="29"/>
    </row>
    <row r="235" spans="19:34" ht="12">
      <c r="S235" s="24"/>
      <c r="Y235" s="25"/>
      <c r="AE235" s="25"/>
      <c r="AG235" s="25"/>
      <c r="AH235" s="29"/>
    </row>
    <row r="236" spans="19:34" ht="12">
      <c r="S236" s="24"/>
      <c r="Y236" s="25"/>
      <c r="AE236" s="25"/>
      <c r="AG236" s="25"/>
      <c r="AH236" s="29"/>
    </row>
    <row r="237" spans="19:34" ht="12">
      <c r="S237" s="24"/>
      <c r="Y237" s="25"/>
      <c r="AE237" s="25"/>
      <c r="AG237" s="25"/>
      <c r="AH237" s="29"/>
    </row>
    <row r="238" spans="19:34" ht="12">
      <c r="S238" s="24"/>
      <c r="Y238" s="25"/>
      <c r="AE238" s="25"/>
      <c r="AG238" s="25"/>
      <c r="AH238" s="29"/>
    </row>
    <row r="239" spans="19:34" ht="12">
      <c r="S239" s="24"/>
      <c r="Y239" s="25"/>
      <c r="AE239" s="25"/>
      <c r="AG239" s="25"/>
      <c r="AH239" s="29"/>
    </row>
    <row r="240" spans="19:34" ht="12">
      <c r="S240" s="24"/>
      <c r="Y240" s="25"/>
      <c r="AE240" s="25"/>
      <c r="AG240" s="25"/>
      <c r="AH240" s="29"/>
    </row>
    <row r="241" spans="19:34" ht="12">
      <c r="S241" s="24"/>
      <c r="Y241" s="25"/>
      <c r="AE241" s="25"/>
      <c r="AG241" s="25"/>
      <c r="AH241" s="29"/>
    </row>
    <row r="242" spans="19:34" ht="12">
      <c r="S242" s="24"/>
      <c r="Y242" s="25"/>
      <c r="AE242" s="25"/>
      <c r="AG242" s="25"/>
      <c r="AH242" s="29"/>
    </row>
    <row r="243" spans="19:34" ht="12">
      <c r="S243" s="24"/>
      <c r="Y243" s="25"/>
      <c r="AE243" s="25"/>
      <c r="AG243" s="25"/>
      <c r="AH243" s="29"/>
    </row>
    <row r="244" spans="19:34" ht="12">
      <c r="S244" s="24"/>
      <c r="Y244" s="25"/>
      <c r="AE244" s="25"/>
      <c r="AG244" s="25"/>
      <c r="AH244" s="29"/>
    </row>
    <row r="245" spans="19:34" ht="12">
      <c r="S245" s="24"/>
      <c r="Y245" s="25"/>
      <c r="AE245" s="25"/>
      <c r="AG245" s="25"/>
      <c r="AH245" s="29"/>
    </row>
    <row r="246" spans="19:34" ht="12">
      <c r="S246" s="24"/>
      <c r="Y246" s="25"/>
      <c r="AE246" s="25"/>
      <c r="AG246" s="25"/>
      <c r="AH246" s="29"/>
    </row>
    <row r="247" spans="19:34" ht="12">
      <c r="S247" s="24"/>
      <c r="Y247" s="25"/>
      <c r="AE247" s="25"/>
      <c r="AG247" s="25"/>
      <c r="AH247" s="29"/>
    </row>
    <row r="248" spans="19:34" ht="12">
      <c r="S248" s="24"/>
      <c r="Y248" s="25"/>
      <c r="AE248" s="25"/>
      <c r="AG248" s="25"/>
      <c r="AH248" s="29"/>
    </row>
    <row r="249" spans="19:34" ht="12">
      <c r="S249" s="24"/>
      <c r="Y249" s="25"/>
      <c r="AE249" s="25"/>
      <c r="AG249" s="25"/>
      <c r="AH249" s="29"/>
    </row>
    <row r="250" spans="19:34" ht="12">
      <c r="S250" s="24"/>
      <c r="Y250" s="25"/>
      <c r="AE250" s="25"/>
      <c r="AG250" s="25"/>
      <c r="AH250" s="29"/>
    </row>
    <row r="251" spans="19:34" ht="12">
      <c r="S251" s="24"/>
      <c r="Y251" s="25"/>
      <c r="AE251" s="25"/>
      <c r="AG251" s="25"/>
      <c r="AH251" s="29"/>
    </row>
    <row r="252" spans="19:34" ht="12">
      <c r="S252" s="24"/>
      <c r="Y252" s="25"/>
      <c r="AE252" s="25"/>
      <c r="AG252" s="25"/>
      <c r="AH252" s="29"/>
    </row>
    <row r="253" spans="19:34" ht="12">
      <c r="S253" s="24"/>
      <c r="Y253" s="25"/>
      <c r="AE253" s="25"/>
      <c r="AG253" s="25"/>
      <c r="AH253" s="29"/>
    </row>
    <row r="254" spans="19:34" ht="12">
      <c r="S254" s="24"/>
      <c r="Y254" s="25"/>
      <c r="AE254" s="25"/>
      <c r="AG254" s="25"/>
      <c r="AH254" s="29"/>
    </row>
    <row r="255" spans="19:34" ht="12">
      <c r="S255" s="24"/>
      <c r="Y255" s="25"/>
      <c r="AE255" s="25"/>
      <c r="AG255" s="25"/>
      <c r="AH255" s="29"/>
    </row>
    <row r="256" spans="19:34" ht="12">
      <c r="S256" s="24"/>
      <c r="Y256" s="25"/>
      <c r="AE256" s="25"/>
      <c r="AG256" s="25"/>
      <c r="AH256" s="29"/>
    </row>
    <row r="257" spans="19:34" ht="12">
      <c r="S257" s="24"/>
      <c r="Y257" s="25"/>
      <c r="AE257" s="25"/>
      <c r="AG257" s="25"/>
      <c r="AH257" s="29"/>
    </row>
    <row r="258" spans="19:34" ht="12">
      <c r="S258" s="24"/>
      <c r="Y258" s="25"/>
      <c r="AE258" s="25"/>
      <c r="AG258" s="25"/>
      <c r="AH258" s="29"/>
    </row>
    <row r="259" spans="19:34" ht="12">
      <c r="S259" s="24"/>
      <c r="Y259" s="25"/>
      <c r="AE259" s="25"/>
      <c r="AG259" s="25"/>
      <c r="AH259" s="29"/>
    </row>
    <row r="260" spans="19:34" ht="12">
      <c r="S260" s="24"/>
      <c r="Y260" s="25"/>
      <c r="AE260" s="25"/>
      <c r="AG260" s="25"/>
      <c r="AH260" s="29"/>
    </row>
    <row r="261" spans="19:34" ht="12">
      <c r="S261" s="24"/>
      <c r="Y261" s="25"/>
      <c r="AE261" s="25"/>
      <c r="AG261" s="25"/>
      <c r="AH261" s="29"/>
    </row>
    <row r="262" spans="19:34" ht="12">
      <c r="S262" s="24"/>
      <c r="Y262" s="25"/>
      <c r="AE262" s="25"/>
      <c r="AG262" s="25"/>
      <c r="AH262" s="29"/>
    </row>
    <row r="263" spans="19:34" ht="12">
      <c r="S263" s="24"/>
      <c r="Y263" s="25"/>
      <c r="AE263" s="25"/>
      <c r="AG263" s="25"/>
      <c r="AH263" s="29"/>
    </row>
    <row r="264" spans="19:34" ht="12">
      <c r="S264" s="24"/>
      <c r="Y264" s="25"/>
      <c r="AE264" s="25"/>
      <c r="AG264" s="25"/>
      <c r="AH264" s="29"/>
    </row>
    <row r="265" spans="19:34" ht="12">
      <c r="S265" s="24"/>
      <c r="Y265" s="25"/>
      <c r="AE265" s="25"/>
      <c r="AG265" s="25"/>
      <c r="AH265" s="29"/>
    </row>
    <row r="266" spans="19:34" ht="12">
      <c r="S266" s="24"/>
      <c r="Y266" s="25"/>
      <c r="AE266" s="25"/>
      <c r="AG266" s="25"/>
      <c r="AH266" s="29"/>
    </row>
    <row r="267" spans="19:34" ht="12">
      <c r="S267" s="24"/>
      <c r="Y267" s="25"/>
      <c r="AE267" s="25"/>
      <c r="AG267" s="25"/>
      <c r="AH267" s="29"/>
    </row>
    <row r="268" spans="19:34" ht="12">
      <c r="S268" s="24"/>
      <c r="Y268" s="25"/>
      <c r="AE268" s="25"/>
      <c r="AG268" s="25"/>
      <c r="AH268" s="29"/>
    </row>
    <row r="269" spans="19:34" ht="12">
      <c r="S269" s="24"/>
      <c r="Y269" s="25"/>
      <c r="AE269" s="25"/>
      <c r="AG269" s="25"/>
      <c r="AH269" s="29"/>
    </row>
    <row r="270" spans="19:34" ht="12">
      <c r="S270" s="24"/>
      <c r="Y270" s="25"/>
      <c r="AE270" s="25"/>
      <c r="AG270" s="25"/>
      <c r="AH270" s="29"/>
    </row>
    <row r="271" spans="19:34" ht="12">
      <c r="S271" s="24"/>
      <c r="Y271" s="25"/>
      <c r="AE271" s="25"/>
      <c r="AG271" s="25"/>
      <c r="AH271" s="29"/>
    </row>
    <row r="272" spans="19:34" ht="12">
      <c r="S272" s="24"/>
      <c r="Y272" s="25"/>
      <c r="AE272" s="25"/>
      <c r="AG272" s="25"/>
      <c r="AH272" s="29"/>
    </row>
    <row r="273" spans="19:34" ht="12">
      <c r="S273" s="24"/>
      <c r="Y273" s="25"/>
      <c r="AE273" s="25"/>
      <c r="AG273" s="25"/>
      <c r="AH273" s="29"/>
    </row>
    <row r="274" spans="19:34" ht="12">
      <c r="S274" s="24"/>
      <c r="Y274" s="25"/>
      <c r="AE274" s="25"/>
      <c r="AG274" s="25"/>
      <c r="AH274" s="29"/>
    </row>
    <row r="275" spans="19:34" ht="12">
      <c r="S275" s="24"/>
      <c r="Y275" s="25"/>
      <c r="AE275" s="25"/>
      <c r="AG275" s="25"/>
      <c r="AH275" s="29"/>
    </row>
    <row r="276" spans="19:34" ht="12">
      <c r="S276" s="24"/>
      <c r="Y276" s="25"/>
      <c r="AE276" s="25"/>
      <c r="AG276" s="25"/>
      <c r="AH276" s="29"/>
    </row>
    <row r="277" spans="19:34" ht="12">
      <c r="S277" s="24"/>
      <c r="Y277" s="25"/>
      <c r="AE277" s="25"/>
      <c r="AG277" s="25"/>
      <c r="AH277" s="29"/>
    </row>
    <row r="278" spans="19:34" ht="12">
      <c r="S278" s="24"/>
      <c r="Y278" s="25"/>
      <c r="AE278" s="25"/>
      <c r="AG278" s="25"/>
      <c r="AH278" s="29"/>
    </row>
    <row r="279" spans="19:34" ht="12">
      <c r="S279" s="24"/>
      <c r="Y279" s="25"/>
      <c r="AE279" s="25"/>
      <c r="AG279" s="25"/>
      <c r="AH279" s="29"/>
    </row>
    <row r="280" spans="19:34" ht="12">
      <c r="S280" s="24"/>
      <c r="Y280" s="25"/>
      <c r="AE280" s="25"/>
      <c r="AG280" s="25"/>
      <c r="AH280" s="29"/>
    </row>
    <row r="281" spans="19:34" ht="12">
      <c r="S281" s="24"/>
      <c r="Y281" s="25"/>
      <c r="AE281" s="25"/>
      <c r="AG281" s="25"/>
      <c r="AH281" s="29"/>
    </row>
    <row r="282" spans="19:34" ht="12">
      <c r="S282" s="24"/>
      <c r="Y282" s="25"/>
      <c r="AE282" s="25"/>
      <c r="AG282" s="25"/>
      <c r="AH282" s="29"/>
    </row>
    <row r="283" spans="19:34" ht="12">
      <c r="S283" s="24"/>
      <c r="Y283" s="25"/>
      <c r="AE283" s="25"/>
      <c r="AG283" s="25"/>
      <c r="AH283" s="29"/>
    </row>
    <row r="284" spans="19:34" ht="12">
      <c r="S284" s="24"/>
      <c r="Y284" s="25"/>
      <c r="AE284" s="25"/>
      <c r="AG284" s="25"/>
      <c r="AH284" s="29"/>
    </row>
    <row r="285" spans="19:34" ht="12">
      <c r="S285" s="24"/>
      <c r="Y285" s="25"/>
      <c r="AE285" s="25"/>
      <c r="AG285" s="25"/>
      <c r="AH285" s="29"/>
    </row>
    <row r="286" spans="19:34" ht="12">
      <c r="S286" s="24"/>
      <c r="Y286" s="25"/>
      <c r="AE286" s="25"/>
      <c r="AG286" s="25"/>
      <c r="AH286" s="29"/>
    </row>
    <row r="287" spans="19:34" ht="12">
      <c r="S287" s="24"/>
      <c r="Y287" s="25"/>
      <c r="AE287" s="25"/>
      <c r="AG287" s="25"/>
      <c r="AH287" s="29"/>
    </row>
    <row r="288" spans="19:34" ht="12">
      <c r="S288" s="24"/>
      <c r="Y288" s="25"/>
      <c r="AE288" s="25"/>
      <c r="AG288" s="25"/>
      <c r="AH288" s="29"/>
    </row>
    <row r="289" spans="19:34" ht="12">
      <c r="S289" s="24"/>
      <c r="Y289" s="25"/>
      <c r="AE289" s="25"/>
      <c r="AG289" s="25"/>
      <c r="AH289" s="29"/>
    </row>
    <row r="290" spans="19:34" ht="12">
      <c r="S290" s="24"/>
      <c r="Y290" s="25"/>
      <c r="AE290" s="25"/>
      <c r="AG290" s="25"/>
      <c r="AH290" s="29"/>
    </row>
    <row r="291" spans="19:34" ht="12">
      <c r="S291" s="24"/>
      <c r="Y291" s="25"/>
      <c r="AE291" s="25"/>
      <c r="AG291" s="25"/>
      <c r="AH291" s="29"/>
    </row>
    <row r="292" spans="19:34" ht="12">
      <c r="S292" s="24"/>
      <c r="Y292" s="25"/>
      <c r="AE292" s="25"/>
      <c r="AG292" s="25"/>
      <c r="AH292" s="29"/>
    </row>
    <row r="293" spans="19:34" ht="12">
      <c r="S293" s="24"/>
      <c r="Y293" s="25"/>
      <c r="AE293" s="25"/>
      <c r="AG293" s="25"/>
      <c r="AH293" s="29"/>
    </row>
    <row r="294" spans="19:34" ht="12">
      <c r="S294" s="24"/>
      <c r="Y294" s="25"/>
      <c r="AE294" s="25"/>
      <c r="AG294" s="25"/>
      <c r="AH294" s="29"/>
    </row>
    <row r="295" spans="19:34" ht="12">
      <c r="S295" s="24"/>
      <c r="Y295" s="25"/>
      <c r="AE295" s="25"/>
      <c r="AG295" s="25"/>
      <c r="AH295" s="29"/>
    </row>
    <row r="296" spans="19:34" ht="12">
      <c r="S296" s="24"/>
      <c r="Y296" s="25"/>
      <c r="AE296" s="25"/>
      <c r="AG296" s="25"/>
      <c r="AH296" s="29"/>
    </row>
    <row r="297" spans="19:34" ht="12">
      <c r="S297" s="24"/>
      <c r="Y297" s="25"/>
      <c r="AE297" s="25"/>
      <c r="AG297" s="25"/>
      <c r="AH297" s="29"/>
    </row>
    <row r="298" spans="19:34" ht="12">
      <c r="S298" s="24"/>
      <c r="Y298" s="25"/>
      <c r="AE298" s="25"/>
      <c r="AG298" s="25"/>
      <c r="AH298" s="29"/>
    </row>
    <row r="299" spans="19:34" ht="12">
      <c r="S299" s="24"/>
      <c r="Y299" s="25"/>
      <c r="AE299" s="25"/>
      <c r="AG299" s="25"/>
      <c r="AH299" s="29"/>
    </row>
    <row r="300" spans="19:34" ht="12">
      <c r="S300" s="24"/>
      <c r="Y300" s="25"/>
      <c r="AE300" s="25"/>
      <c r="AG300" s="25"/>
      <c r="AH300" s="29"/>
    </row>
    <row r="301" spans="19:34" ht="12">
      <c r="S301" s="24"/>
      <c r="Y301" s="25"/>
      <c r="AE301" s="25"/>
      <c r="AG301" s="25"/>
      <c r="AH301" s="29"/>
    </row>
    <row r="302" spans="25:34" ht="12">
      <c r="Y302" s="25"/>
      <c r="AE302" s="25"/>
      <c r="AG302" s="25"/>
      <c r="AH302" s="29"/>
    </row>
    <row r="303" spans="25:34" ht="12">
      <c r="Y303" s="25"/>
      <c r="AE303" s="25"/>
      <c r="AG303" s="25"/>
      <c r="AH303" s="29"/>
    </row>
    <row r="304" spans="25:34" ht="12">
      <c r="Y304" s="25"/>
      <c r="AE304" s="25"/>
      <c r="AG304" s="25"/>
      <c r="AH304" s="29"/>
    </row>
    <row r="305" spans="25:34" ht="12">
      <c r="Y305" s="25"/>
      <c r="AE305" s="25"/>
      <c r="AG305" s="25"/>
      <c r="AH305" s="29"/>
    </row>
    <row r="306" spans="25:34" ht="12">
      <c r="Y306" s="25"/>
      <c r="AE306" s="25"/>
      <c r="AG306" s="25"/>
      <c r="AH306" s="29"/>
    </row>
    <row r="307" spans="25:34" ht="12">
      <c r="Y307" s="25"/>
      <c r="AE307" s="25"/>
      <c r="AG307" s="25"/>
      <c r="AH307" s="29"/>
    </row>
    <row r="308" spans="25:34" ht="12">
      <c r="Y308" s="25"/>
      <c r="AE308" s="25"/>
      <c r="AG308" s="25"/>
      <c r="AH308" s="29"/>
    </row>
    <row r="309" spans="25:34" ht="12">
      <c r="Y309" s="25"/>
      <c r="AE309" s="25"/>
      <c r="AG309" s="25"/>
      <c r="AH309" s="29"/>
    </row>
    <row r="310" spans="25:34" ht="12">
      <c r="Y310" s="25"/>
      <c r="AE310" s="25"/>
      <c r="AG310" s="25"/>
      <c r="AH310" s="29"/>
    </row>
    <row r="311" spans="25:34" ht="12">
      <c r="Y311" s="25"/>
      <c r="AE311" s="25"/>
      <c r="AG311" s="25"/>
      <c r="AH311" s="29"/>
    </row>
    <row r="312" spans="25:34" ht="12">
      <c r="Y312" s="25"/>
      <c r="AE312" s="25"/>
      <c r="AG312" s="25"/>
      <c r="AH312" s="29"/>
    </row>
    <row r="313" spans="25:34" ht="12">
      <c r="Y313" s="25"/>
      <c r="AE313" s="25"/>
      <c r="AG313" s="25"/>
      <c r="AH313" s="29"/>
    </row>
    <row r="314" spans="25:34" ht="12">
      <c r="Y314" s="25"/>
      <c r="AE314" s="25"/>
      <c r="AG314" s="25"/>
      <c r="AH314" s="29"/>
    </row>
    <row r="315" spans="25:34" ht="12">
      <c r="Y315" s="25"/>
      <c r="AE315" s="25"/>
      <c r="AG315" s="25"/>
      <c r="AH315" s="29"/>
    </row>
    <row r="316" spans="25:34" ht="12">
      <c r="Y316" s="25"/>
      <c r="AE316" s="25"/>
      <c r="AG316" s="25"/>
      <c r="AH316" s="29"/>
    </row>
    <row r="317" spans="25:34" ht="12">
      <c r="Y317" s="25"/>
      <c r="AE317" s="25"/>
      <c r="AG317" s="25"/>
      <c r="AH317" s="29"/>
    </row>
    <row r="318" spans="25:34" ht="12">
      <c r="Y318" s="25"/>
      <c r="AE318" s="25"/>
      <c r="AG318" s="25"/>
      <c r="AH318" s="29"/>
    </row>
    <row r="319" spans="25:34" ht="12">
      <c r="Y319" s="25"/>
      <c r="AE319" s="25"/>
      <c r="AG319" s="25"/>
      <c r="AH319" s="29"/>
    </row>
    <row r="320" spans="25:34" ht="12">
      <c r="Y320" s="25"/>
      <c r="AE320" s="25"/>
      <c r="AG320" s="25"/>
      <c r="AH320" s="29"/>
    </row>
    <row r="321" spans="25:34" ht="12">
      <c r="Y321" s="25"/>
      <c r="AE321" s="25"/>
      <c r="AG321" s="25"/>
      <c r="AH321" s="29"/>
    </row>
    <row r="322" spans="25:34" ht="12">
      <c r="Y322" s="25"/>
      <c r="AE322" s="25"/>
      <c r="AG322" s="25"/>
      <c r="AH322" s="29"/>
    </row>
    <row r="323" spans="25:34" ht="12">
      <c r="Y323" s="25"/>
      <c r="AE323" s="25"/>
      <c r="AG323" s="25"/>
      <c r="AH323" s="29"/>
    </row>
    <row r="324" spans="25:34" ht="12">
      <c r="Y324" s="25"/>
      <c r="AE324" s="25"/>
      <c r="AG324" s="25"/>
      <c r="AH324" s="29"/>
    </row>
    <row r="325" spans="25:34" ht="12">
      <c r="Y325" s="25"/>
      <c r="AE325" s="25"/>
      <c r="AG325" s="25"/>
      <c r="AH325" s="29"/>
    </row>
    <row r="326" spans="25:34" ht="12">
      <c r="Y326" s="25"/>
      <c r="AE326" s="25"/>
      <c r="AG326" s="25"/>
      <c r="AH326" s="29"/>
    </row>
    <row r="327" spans="25:34" ht="12">
      <c r="Y327" s="25"/>
      <c r="AE327" s="25"/>
      <c r="AG327" s="25"/>
      <c r="AH327" s="29"/>
    </row>
    <row r="328" spans="25:34" ht="12">
      <c r="Y328" s="25"/>
      <c r="AE328" s="25"/>
      <c r="AG328" s="25"/>
      <c r="AH328" s="29"/>
    </row>
    <row r="329" spans="25:34" ht="12">
      <c r="Y329" s="25"/>
      <c r="AE329" s="25"/>
      <c r="AG329" s="25"/>
      <c r="AH329" s="29"/>
    </row>
    <row r="330" spans="25:34" ht="12">
      <c r="Y330" s="25"/>
      <c r="AE330" s="25"/>
      <c r="AG330" s="25"/>
      <c r="AH330" s="29"/>
    </row>
    <row r="331" spans="25:34" ht="12">
      <c r="Y331" s="25"/>
      <c r="AE331" s="25"/>
      <c r="AG331" s="25"/>
      <c r="AH331" s="29"/>
    </row>
    <row r="332" spans="25:34" ht="12">
      <c r="Y332" s="25"/>
      <c r="AE332" s="25"/>
      <c r="AG332" s="25"/>
      <c r="AH332" s="29"/>
    </row>
    <row r="333" spans="25:34" ht="12">
      <c r="Y333" s="25"/>
      <c r="AE333" s="25"/>
      <c r="AG333" s="25"/>
      <c r="AH333" s="29"/>
    </row>
    <row r="334" spans="25:34" ht="12">
      <c r="Y334" s="25"/>
      <c r="AE334" s="25"/>
      <c r="AG334" s="25"/>
      <c r="AH334" s="29"/>
    </row>
    <row r="335" spans="25:34" ht="12">
      <c r="Y335" s="25"/>
      <c r="AE335" s="25"/>
      <c r="AG335" s="25"/>
      <c r="AH335" s="29"/>
    </row>
    <row r="336" spans="25:34" ht="12">
      <c r="Y336" s="25"/>
      <c r="AE336" s="25"/>
      <c r="AG336" s="25"/>
      <c r="AH336" s="29"/>
    </row>
    <row r="337" spans="25:34" ht="12">
      <c r="Y337" s="25"/>
      <c r="AE337" s="25"/>
      <c r="AG337" s="25"/>
      <c r="AH337" s="29"/>
    </row>
    <row r="338" spans="25:34" ht="12">
      <c r="Y338" s="25"/>
      <c r="AE338" s="25"/>
      <c r="AG338" s="25"/>
      <c r="AH338" s="29"/>
    </row>
    <row r="339" spans="25:34" ht="12">
      <c r="Y339" s="25"/>
      <c r="AE339" s="25"/>
      <c r="AG339" s="25"/>
      <c r="AH339" s="29"/>
    </row>
    <row r="340" spans="25:34" ht="12">
      <c r="Y340" s="25"/>
      <c r="AE340" s="25"/>
      <c r="AG340" s="25"/>
      <c r="AH340" s="29"/>
    </row>
    <row r="341" spans="25:34" ht="12">
      <c r="Y341" s="25"/>
      <c r="AE341" s="25"/>
      <c r="AG341" s="25"/>
      <c r="AH341" s="29"/>
    </row>
    <row r="342" spans="25:34" ht="12">
      <c r="Y342" s="25"/>
      <c r="AE342" s="25"/>
      <c r="AG342" s="25"/>
      <c r="AH342" s="29"/>
    </row>
    <row r="343" spans="25:34" ht="12">
      <c r="Y343" s="25"/>
      <c r="AE343" s="25"/>
      <c r="AG343" s="25"/>
      <c r="AH343" s="29"/>
    </row>
    <row r="344" spans="25:34" ht="12">
      <c r="Y344" s="25"/>
      <c r="AE344" s="25"/>
      <c r="AG344" s="25"/>
      <c r="AH344" s="29"/>
    </row>
    <row r="345" spans="25:34" ht="12">
      <c r="Y345" s="25"/>
      <c r="AE345" s="25"/>
      <c r="AG345" s="25"/>
      <c r="AH345" s="29"/>
    </row>
    <row r="346" spans="25:34" ht="12">
      <c r="Y346" s="25"/>
      <c r="AE346" s="25"/>
      <c r="AG346" s="25"/>
      <c r="AH346" s="29"/>
    </row>
    <row r="347" spans="25:34" ht="12">
      <c r="Y347" s="25"/>
      <c r="AE347" s="25"/>
      <c r="AG347" s="25"/>
      <c r="AH347" s="29"/>
    </row>
    <row r="348" spans="25:34" ht="12">
      <c r="Y348" s="25"/>
      <c r="AE348" s="25"/>
      <c r="AG348" s="25"/>
      <c r="AH348" s="29"/>
    </row>
    <row r="349" spans="25:34" ht="12">
      <c r="Y349" s="25"/>
      <c r="AE349" s="25"/>
      <c r="AG349" s="25"/>
      <c r="AH349" s="29"/>
    </row>
    <row r="350" spans="25:34" ht="12">
      <c r="Y350" s="25"/>
      <c r="AE350" s="25"/>
      <c r="AG350" s="25"/>
      <c r="AH350" s="29"/>
    </row>
    <row r="351" spans="25:34" ht="12">
      <c r="Y351" s="25"/>
      <c r="AE351" s="25"/>
      <c r="AG351" s="25"/>
      <c r="AH351" s="29"/>
    </row>
    <row r="352" spans="25:34" ht="12">
      <c r="Y352" s="25"/>
      <c r="AE352" s="25"/>
      <c r="AG352" s="25"/>
      <c r="AH352" s="29"/>
    </row>
    <row r="353" spans="25:33" ht="12">
      <c r="Y353" s="25"/>
      <c r="AE353" s="25"/>
      <c r="AG353" s="25"/>
    </row>
    <row r="354" spans="25:33" ht="12">
      <c r="Y354" s="25"/>
      <c r="AE354" s="25"/>
      <c r="AG354" s="25"/>
    </row>
    <row r="355" spans="25:33" ht="12">
      <c r="Y355" s="25"/>
      <c r="AE355" s="25"/>
      <c r="AG355" s="25"/>
    </row>
    <row r="356" spans="25:33" ht="12">
      <c r="Y356" s="25"/>
      <c r="AE356" s="25"/>
      <c r="AG356" s="25"/>
    </row>
    <row r="357" spans="25:33" ht="12">
      <c r="Y357" s="25"/>
      <c r="AE357" s="25"/>
      <c r="AG357" s="25"/>
    </row>
    <row r="358" spans="25:33" ht="12">
      <c r="Y358" s="25"/>
      <c r="AE358" s="25"/>
      <c r="AG358" s="25"/>
    </row>
    <row r="359" spans="25:33" ht="12">
      <c r="Y359" s="25"/>
      <c r="AE359" s="25"/>
      <c r="AG359" s="25"/>
    </row>
    <row r="360" spans="25:33" ht="12">
      <c r="Y360" s="25"/>
      <c r="AE360" s="25"/>
      <c r="AG360" s="25"/>
    </row>
    <row r="361" spans="25:33" ht="12">
      <c r="Y361" s="25"/>
      <c r="AE361" s="25"/>
      <c r="AG361" s="25"/>
    </row>
    <row r="362" spans="25:33" ht="12">
      <c r="Y362" s="25"/>
      <c r="AE362" s="25"/>
      <c r="AG362" s="25"/>
    </row>
    <row r="363" spans="25:33" ht="12">
      <c r="Y363" s="25"/>
      <c r="AE363" s="25"/>
      <c r="AG363" s="25"/>
    </row>
    <row r="364" spans="25:33" ht="12">
      <c r="Y364" s="25"/>
      <c r="AE364" s="25"/>
      <c r="AG364" s="25"/>
    </row>
    <row r="365" spans="25:33" ht="12">
      <c r="Y365" s="25"/>
      <c r="AE365" s="25"/>
      <c r="AG365" s="25"/>
    </row>
    <row r="366" spans="25:33" ht="12">
      <c r="Y366" s="25"/>
      <c r="AE366" s="25"/>
      <c r="AG366" s="25"/>
    </row>
    <row r="367" spans="25:33" ht="12">
      <c r="Y367" s="25"/>
      <c r="AE367" s="25"/>
      <c r="AG367" s="25"/>
    </row>
    <row r="368" spans="25:33" ht="12">
      <c r="Y368" s="25"/>
      <c r="AE368" s="25"/>
      <c r="AG368" s="25"/>
    </row>
    <row r="369" spans="25:33" ht="12">
      <c r="Y369" s="25"/>
      <c r="AE369" s="25"/>
      <c r="AG369" s="25"/>
    </row>
    <row r="370" spans="25:33" ht="12">
      <c r="Y370" s="25"/>
      <c r="AE370" s="25"/>
      <c r="AG370" s="25"/>
    </row>
    <row r="371" spans="25:33" ht="12">
      <c r="Y371" s="25"/>
      <c r="AE371" s="25"/>
      <c r="AG371" s="25"/>
    </row>
    <row r="372" spans="25:33" ht="12">
      <c r="Y372" s="25"/>
      <c r="AE372" s="25"/>
      <c r="AG372" s="25"/>
    </row>
    <row r="373" spans="25:33" ht="12">
      <c r="Y373" s="25"/>
      <c r="AE373" s="25"/>
      <c r="AG373" s="25"/>
    </row>
    <row r="374" spans="25:33" ht="12">
      <c r="Y374" s="25"/>
      <c r="AE374" s="25"/>
      <c r="AG374" s="25"/>
    </row>
    <row r="375" spans="25:33" ht="12">
      <c r="Y375" s="25"/>
      <c r="AE375" s="25"/>
      <c r="AG375" s="25"/>
    </row>
    <row r="376" spans="25:33" ht="12">
      <c r="Y376" s="25"/>
      <c r="AE376" s="25"/>
      <c r="AG376" s="25"/>
    </row>
    <row r="377" spans="25:33" ht="12">
      <c r="Y377" s="25"/>
      <c r="AE377" s="25"/>
      <c r="AG377" s="25"/>
    </row>
    <row r="378" spans="25:33" ht="12">
      <c r="Y378" s="25"/>
      <c r="AE378" s="25"/>
      <c r="AG378" s="25"/>
    </row>
    <row r="379" spans="25:33" ht="12">
      <c r="Y379" s="25"/>
      <c r="AE379" s="25"/>
      <c r="AG379" s="25"/>
    </row>
    <row r="380" spans="25:33" ht="12">
      <c r="Y380" s="25"/>
      <c r="AE380" s="25"/>
      <c r="AG380" s="25"/>
    </row>
    <row r="381" spans="25:33" ht="12">
      <c r="Y381" s="25"/>
      <c r="AE381" s="25"/>
      <c r="AG381" s="25"/>
    </row>
    <row r="382" spans="25:33" ht="12">
      <c r="Y382" s="25"/>
      <c r="AE382" s="25"/>
      <c r="AG382" s="25"/>
    </row>
    <row r="383" spans="25:33" ht="12">
      <c r="Y383" s="25"/>
      <c r="AE383" s="25"/>
      <c r="AG383" s="25"/>
    </row>
    <row r="384" spans="25:33" ht="12">
      <c r="Y384" s="25"/>
      <c r="AE384" s="25"/>
      <c r="AG384" s="25"/>
    </row>
    <row r="385" spans="25:33" ht="12">
      <c r="Y385" s="25"/>
      <c r="AE385" s="25"/>
      <c r="AG385" s="25"/>
    </row>
    <row r="386" spans="25:33" ht="12">
      <c r="Y386" s="25"/>
      <c r="AE386" s="25"/>
      <c r="AG386" s="25"/>
    </row>
    <row r="387" spans="25:33" ht="12">
      <c r="Y387" s="25"/>
      <c r="AE387" s="25"/>
      <c r="AG387" s="25"/>
    </row>
    <row r="388" spans="25:33" ht="12">
      <c r="Y388" s="25"/>
      <c r="AE388" s="25"/>
      <c r="AG388" s="25"/>
    </row>
    <row r="389" spans="25:33" ht="12">
      <c r="Y389" s="25"/>
      <c r="AE389" s="25"/>
      <c r="AG389" s="25"/>
    </row>
    <row r="390" spans="25:33" ht="12">
      <c r="Y390" s="25"/>
      <c r="AE390" s="25"/>
      <c r="AG390" s="25"/>
    </row>
    <row r="391" spans="25:33" ht="12">
      <c r="Y391" s="25"/>
      <c r="AE391" s="25"/>
      <c r="AG391" s="25"/>
    </row>
    <row r="392" spans="25:33" ht="12">
      <c r="Y392" s="25"/>
      <c r="AE392" s="25"/>
      <c r="AG392" s="25"/>
    </row>
    <row r="393" spans="25:33" ht="12">
      <c r="Y393" s="25"/>
      <c r="AE393" s="25"/>
      <c r="AG393" s="25"/>
    </row>
    <row r="394" spans="25:33" ht="12">
      <c r="Y394" s="25"/>
      <c r="AE394" s="25"/>
      <c r="AG394" s="25"/>
    </row>
    <row r="395" spans="25:33" ht="12">
      <c r="Y395" s="25"/>
      <c r="AE395" s="25"/>
      <c r="AG395" s="25"/>
    </row>
    <row r="396" spans="25:33" ht="12">
      <c r="Y396" s="25"/>
      <c r="AE396" s="25"/>
      <c r="AG396" s="25"/>
    </row>
    <row r="397" spans="25:33" ht="12">
      <c r="Y397" s="25"/>
      <c r="AE397" s="25"/>
      <c r="AG397" s="25"/>
    </row>
    <row r="398" spans="25:33" ht="12">
      <c r="Y398" s="25"/>
      <c r="AE398" s="25"/>
      <c r="AG398" s="25"/>
    </row>
    <row r="399" spans="25:33" ht="12">
      <c r="Y399" s="25"/>
      <c r="AE399" s="25"/>
      <c r="AG399" s="25"/>
    </row>
    <row r="400" spans="25:33" ht="12">
      <c r="Y400" s="25"/>
      <c r="AE400" s="25"/>
      <c r="AG400" s="25"/>
    </row>
    <row r="401" spans="25:33" ht="12">
      <c r="Y401" s="25"/>
      <c r="AE401" s="25"/>
      <c r="AG401" s="25"/>
    </row>
    <row r="402" spans="25:33" ht="12">
      <c r="Y402" s="25"/>
      <c r="AE402" s="25"/>
      <c r="AG402" s="25"/>
    </row>
    <row r="403" spans="25:33" ht="12">
      <c r="Y403" s="25"/>
      <c r="AE403" s="25"/>
      <c r="AG403" s="25"/>
    </row>
    <row r="404" spans="25:33" ht="12">
      <c r="Y404" s="25"/>
      <c r="AE404" s="25"/>
      <c r="AG404" s="25"/>
    </row>
    <row r="405" spans="25:33" ht="12">
      <c r="Y405" s="25"/>
      <c r="AE405" s="25"/>
      <c r="AG405" s="25"/>
    </row>
    <row r="406" spans="25:33" ht="12">
      <c r="Y406" s="25"/>
      <c r="AE406" s="25"/>
      <c r="AG406" s="25"/>
    </row>
    <row r="407" spans="25:33" ht="12">
      <c r="Y407" s="25"/>
      <c r="AE407" s="25"/>
      <c r="AG407" s="25"/>
    </row>
    <row r="408" spans="25:33" ht="12">
      <c r="Y408" s="25"/>
      <c r="AE408" s="25"/>
      <c r="AG408" s="25"/>
    </row>
    <row r="409" spans="25:33" ht="12">
      <c r="Y409" s="25"/>
      <c r="AE409" s="25"/>
      <c r="AG409" s="25"/>
    </row>
    <row r="410" spans="25:33" ht="12">
      <c r="Y410" s="25"/>
      <c r="AE410" s="25"/>
      <c r="AG410" s="25"/>
    </row>
    <row r="411" spans="25:33" ht="12">
      <c r="Y411" s="25"/>
      <c r="AE411" s="25"/>
      <c r="AG411" s="25"/>
    </row>
    <row r="412" spans="25:33" ht="12">
      <c r="Y412" s="25"/>
      <c r="AE412" s="25"/>
      <c r="AG412" s="25"/>
    </row>
    <row r="413" spans="25:33" ht="12">
      <c r="Y413" s="25"/>
      <c r="AE413" s="25"/>
      <c r="AG413" s="25"/>
    </row>
    <row r="414" spans="25:33" ht="12">
      <c r="Y414" s="25"/>
      <c r="AE414" s="25"/>
      <c r="AG414" s="25"/>
    </row>
    <row r="415" spans="25:33" ht="12">
      <c r="Y415" s="25"/>
      <c r="AE415" s="25"/>
      <c r="AG415" s="25"/>
    </row>
    <row r="416" spans="25:33" ht="12">
      <c r="Y416" s="25"/>
      <c r="AE416" s="25"/>
      <c r="AG416" s="25"/>
    </row>
    <row r="417" spans="25:33" ht="12">
      <c r="Y417" s="25"/>
      <c r="AE417" s="25"/>
      <c r="AG417" s="25"/>
    </row>
    <row r="418" spans="25:33" ht="12">
      <c r="Y418" s="25"/>
      <c r="AE418" s="25"/>
      <c r="AG418" s="25"/>
    </row>
    <row r="419" spans="25:33" ht="12">
      <c r="Y419" s="25"/>
      <c r="AE419" s="25"/>
      <c r="AG419" s="25"/>
    </row>
    <row r="420" spans="25:33" ht="12">
      <c r="Y420" s="25"/>
      <c r="AE420" s="25"/>
      <c r="AG420" s="25"/>
    </row>
    <row r="421" spans="25:33" ht="12">
      <c r="Y421" s="25"/>
      <c r="AE421" s="25"/>
      <c r="AG421" s="25"/>
    </row>
    <row r="422" spans="25:33" ht="12">
      <c r="Y422" s="25"/>
      <c r="AE422" s="25"/>
      <c r="AG422" s="25"/>
    </row>
    <row r="423" spans="25:33" ht="12">
      <c r="Y423" s="25"/>
      <c r="AE423" s="25"/>
      <c r="AG423" s="25"/>
    </row>
    <row r="424" spans="25:33" ht="12">
      <c r="Y424" s="25"/>
      <c r="AE424" s="25"/>
      <c r="AG424" s="25"/>
    </row>
    <row r="425" spans="25:33" ht="12">
      <c r="Y425" s="25"/>
      <c r="AE425" s="25"/>
      <c r="AG425" s="25"/>
    </row>
    <row r="426" spans="25:33" ht="12">
      <c r="Y426" s="25"/>
      <c r="AE426" s="25"/>
      <c r="AG426" s="25"/>
    </row>
    <row r="427" spans="25:33" ht="12">
      <c r="Y427" s="25"/>
      <c r="AE427" s="25"/>
      <c r="AG427" s="25"/>
    </row>
    <row r="428" spans="25:33" ht="12">
      <c r="Y428" s="25"/>
      <c r="AE428" s="25"/>
      <c r="AG428" s="25"/>
    </row>
    <row r="429" spans="25:33" ht="12">
      <c r="Y429" s="25"/>
      <c r="AE429" s="25"/>
      <c r="AG429" s="25"/>
    </row>
    <row r="430" spans="25:33" ht="12">
      <c r="Y430" s="25"/>
      <c r="AE430" s="25"/>
      <c r="AG430" s="25"/>
    </row>
    <row r="431" spans="25:33" ht="12">
      <c r="Y431" s="25"/>
      <c r="AE431" s="25"/>
      <c r="AG431" s="25"/>
    </row>
    <row r="432" spans="25:33" ht="12">
      <c r="Y432" s="25"/>
      <c r="AE432" s="25"/>
      <c r="AG432" s="25"/>
    </row>
    <row r="433" spans="25:33" ht="12">
      <c r="Y433" s="25"/>
      <c r="AE433" s="25"/>
      <c r="AG433" s="25"/>
    </row>
    <row r="434" spans="25:33" ht="12">
      <c r="Y434" s="25"/>
      <c r="AE434" s="25"/>
      <c r="AG434" s="25"/>
    </row>
    <row r="435" spans="25:33" ht="12">
      <c r="Y435" s="25"/>
      <c r="AE435" s="25"/>
      <c r="AG435" s="25"/>
    </row>
    <row r="436" spans="25:33" ht="12">
      <c r="Y436" s="25"/>
      <c r="AE436" s="25"/>
      <c r="AG436" s="25"/>
    </row>
    <row r="437" spans="25:33" ht="12">
      <c r="Y437" s="25"/>
      <c r="AE437" s="25"/>
      <c r="AG437" s="25"/>
    </row>
    <row r="438" spans="25:33" ht="12">
      <c r="Y438" s="25"/>
      <c r="AE438" s="25"/>
      <c r="AG438" s="25"/>
    </row>
    <row r="439" spans="25:33" ht="12">
      <c r="Y439" s="25"/>
      <c r="AE439" s="25"/>
      <c r="AG439" s="25"/>
    </row>
    <row r="440" spans="25:33" ht="12">
      <c r="Y440" s="25"/>
      <c r="AE440" s="25"/>
      <c r="AG440" s="25"/>
    </row>
    <row r="441" spans="25:33" ht="12">
      <c r="Y441" s="25"/>
      <c r="AE441" s="25"/>
      <c r="AG441" s="25"/>
    </row>
    <row r="442" spans="25:33" ht="12">
      <c r="Y442" s="25"/>
      <c r="AE442" s="25"/>
      <c r="AG442" s="25"/>
    </row>
    <row r="443" spans="25:33" ht="12">
      <c r="Y443" s="25"/>
      <c r="AE443" s="25"/>
      <c r="AG443" s="25"/>
    </row>
    <row r="444" spans="25:33" ht="12">
      <c r="Y444" s="25"/>
      <c r="AE444" s="25"/>
      <c r="AG444" s="25"/>
    </row>
    <row r="445" spans="25:33" ht="12">
      <c r="Y445" s="25"/>
      <c r="AE445" s="25"/>
      <c r="AG445" s="25"/>
    </row>
    <row r="446" spans="25:33" ht="12">
      <c r="Y446" s="25"/>
      <c r="AE446" s="25"/>
      <c r="AG446" s="25"/>
    </row>
    <row r="447" spans="25:33" ht="12">
      <c r="Y447" s="25"/>
      <c r="AE447" s="25"/>
      <c r="AG447" s="25"/>
    </row>
    <row r="448" spans="25:33" ht="12">
      <c r="Y448" s="25"/>
      <c r="AE448" s="25"/>
      <c r="AG448" s="25"/>
    </row>
    <row r="449" spans="25:33" ht="12">
      <c r="Y449" s="25"/>
      <c r="AE449" s="25"/>
      <c r="AG449" s="25"/>
    </row>
    <row r="450" spans="25:33" ht="12">
      <c r="Y450" s="25"/>
      <c r="AE450" s="25"/>
      <c r="AG450" s="25"/>
    </row>
    <row r="451" spans="25:33" ht="12">
      <c r="Y451" s="25"/>
      <c r="AE451" s="25"/>
      <c r="AG451" s="25"/>
    </row>
    <row r="452" spans="25:33" ht="12">
      <c r="Y452" s="25"/>
      <c r="AE452" s="25"/>
      <c r="AG452" s="25"/>
    </row>
    <row r="453" spans="25:33" ht="12">
      <c r="Y453" s="25"/>
      <c r="AE453" s="25"/>
      <c r="AG453" s="25"/>
    </row>
    <row r="454" spans="25:33" ht="12">
      <c r="Y454" s="25"/>
      <c r="AE454" s="25"/>
      <c r="AG454" s="25"/>
    </row>
    <row r="455" spans="25:33" ht="12">
      <c r="Y455" s="25"/>
      <c r="AE455" s="25"/>
      <c r="AG455" s="25"/>
    </row>
    <row r="456" spans="25:33" ht="12">
      <c r="Y456" s="25"/>
      <c r="AE456" s="25"/>
      <c r="AG456" s="25"/>
    </row>
    <row r="457" spans="25:33" ht="12">
      <c r="Y457" s="25"/>
      <c r="AE457" s="25"/>
      <c r="AG457" s="25"/>
    </row>
    <row r="458" spans="25:33" ht="12">
      <c r="Y458" s="25"/>
      <c r="AE458" s="25"/>
      <c r="AG458" s="25"/>
    </row>
    <row r="459" spans="25:33" ht="12">
      <c r="Y459" s="25"/>
      <c r="AE459" s="25"/>
      <c r="AG459" s="25"/>
    </row>
    <row r="460" spans="25:33" ht="12">
      <c r="Y460" s="25"/>
      <c r="AE460" s="25"/>
      <c r="AG460" s="25"/>
    </row>
    <row r="461" spans="25:33" ht="12">
      <c r="Y461" s="25"/>
      <c r="AE461" s="25"/>
      <c r="AG461" s="25"/>
    </row>
    <row r="462" spans="25:33" ht="12">
      <c r="Y462" s="25"/>
      <c r="AE462" s="25"/>
      <c r="AG462" s="25"/>
    </row>
    <row r="463" spans="25:33" ht="12">
      <c r="Y463" s="25"/>
      <c r="AE463" s="25"/>
      <c r="AG463" s="25"/>
    </row>
    <row r="464" spans="25:33" ht="12">
      <c r="Y464" s="25"/>
      <c r="AE464" s="25"/>
      <c r="AG464" s="25"/>
    </row>
    <row r="465" spans="25:33" ht="12">
      <c r="Y465" s="25"/>
      <c r="AE465" s="25"/>
      <c r="AG465" s="25"/>
    </row>
    <row r="466" spans="25:33" ht="12">
      <c r="Y466" s="25"/>
      <c r="AE466" s="25"/>
      <c r="AG466" s="25"/>
    </row>
    <row r="467" spans="25:33" ht="12">
      <c r="Y467" s="25"/>
      <c r="AE467" s="25"/>
      <c r="AG467" s="25"/>
    </row>
    <row r="468" spans="25:33" ht="12">
      <c r="Y468" s="25"/>
      <c r="AE468" s="25"/>
      <c r="AG468" s="25"/>
    </row>
    <row r="469" spans="25:33" ht="12">
      <c r="Y469" s="25"/>
      <c r="AE469" s="25"/>
      <c r="AG469" s="25"/>
    </row>
    <row r="470" spans="25:33" ht="12">
      <c r="Y470" s="25"/>
      <c r="AE470" s="25"/>
      <c r="AG470" s="25"/>
    </row>
    <row r="471" spans="25:33" ht="12">
      <c r="Y471" s="25"/>
      <c r="AE471" s="25"/>
      <c r="AG471" s="25"/>
    </row>
    <row r="472" spans="25:33" ht="12">
      <c r="Y472" s="25"/>
      <c r="AE472" s="25"/>
      <c r="AG472" s="25"/>
    </row>
    <row r="473" spans="25:33" ht="12">
      <c r="Y473" s="25"/>
      <c r="AE473" s="25"/>
      <c r="AG473" s="25"/>
    </row>
    <row r="474" spans="25:33" ht="12">
      <c r="Y474" s="25"/>
      <c r="AE474" s="25"/>
      <c r="AG474" s="25"/>
    </row>
    <row r="475" spans="25:33" ht="12">
      <c r="Y475" s="25"/>
      <c r="AE475" s="25"/>
      <c r="AG475" s="25"/>
    </row>
    <row r="476" spans="25:33" ht="12">
      <c r="Y476" s="25"/>
      <c r="AE476" s="25"/>
      <c r="AG476" s="25"/>
    </row>
    <row r="477" spans="25:33" ht="12">
      <c r="Y477" s="25"/>
      <c r="AE477" s="25"/>
      <c r="AG477" s="25"/>
    </row>
    <row r="478" spans="25:33" ht="12">
      <c r="Y478" s="25"/>
      <c r="AE478" s="25"/>
      <c r="AG478" s="25"/>
    </row>
    <row r="479" spans="25:33" ht="12">
      <c r="Y479" s="25"/>
      <c r="AE479" s="25"/>
      <c r="AG479" s="25"/>
    </row>
    <row r="480" spans="25:33" ht="12">
      <c r="Y480" s="25"/>
      <c r="AE480" s="25"/>
      <c r="AG480" s="25"/>
    </row>
    <row r="481" spans="25:33" ht="12">
      <c r="Y481" s="25"/>
      <c r="AE481" s="25"/>
      <c r="AG481" s="25"/>
    </row>
    <row r="482" spans="25:33" ht="12">
      <c r="Y482" s="25"/>
      <c r="AE482" s="25"/>
      <c r="AG482" s="25"/>
    </row>
    <row r="483" spans="25:33" ht="12">
      <c r="Y483" s="25"/>
      <c r="AE483" s="25"/>
      <c r="AG483" s="25"/>
    </row>
    <row r="484" spans="25:33" ht="12">
      <c r="Y484" s="25"/>
      <c r="AE484" s="25"/>
      <c r="AG484" s="25"/>
    </row>
    <row r="485" spans="25:33" ht="12">
      <c r="Y485" s="25"/>
      <c r="AE485" s="25"/>
      <c r="AG485" s="25"/>
    </row>
    <row r="486" spans="25:33" ht="12">
      <c r="Y486" s="25"/>
      <c r="AE486" s="25"/>
      <c r="AG486" s="25"/>
    </row>
    <row r="487" spans="25:33" ht="12">
      <c r="Y487" s="25"/>
      <c r="AE487" s="25"/>
      <c r="AG487" s="25"/>
    </row>
    <row r="488" spans="25:33" ht="12">
      <c r="Y488" s="25"/>
      <c r="AE488" s="25"/>
      <c r="AG488" s="25"/>
    </row>
    <row r="489" spans="25:33" ht="12">
      <c r="Y489" s="25"/>
      <c r="AE489" s="25"/>
      <c r="AG489" s="25"/>
    </row>
    <row r="490" spans="25:33" ht="12">
      <c r="Y490" s="25"/>
      <c r="AE490" s="25"/>
      <c r="AG490" s="25"/>
    </row>
    <row r="491" spans="25:33" ht="12">
      <c r="Y491" s="25"/>
      <c r="AE491" s="25"/>
      <c r="AG491" s="25"/>
    </row>
    <row r="492" spans="25:33" ht="12">
      <c r="Y492" s="25"/>
      <c r="AE492" s="25"/>
      <c r="AG492" s="25"/>
    </row>
    <row r="493" spans="25:33" ht="12">
      <c r="Y493" s="25"/>
      <c r="AE493" s="25"/>
      <c r="AG493" s="25"/>
    </row>
    <row r="494" spans="25:33" ht="12">
      <c r="Y494" s="25"/>
      <c r="AE494" s="25"/>
      <c r="AG494" s="25"/>
    </row>
    <row r="495" spans="25:33" ht="12">
      <c r="Y495" s="25"/>
      <c r="AE495" s="25"/>
      <c r="AG495" s="25"/>
    </row>
    <row r="496" spans="25:33" ht="12">
      <c r="Y496" s="25"/>
      <c r="AE496" s="25"/>
      <c r="AG496" s="25"/>
    </row>
    <row r="497" spans="25:33" ht="12">
      <c r="Y497" s="25"/>
      <c r="AE497" s="25"/>
      <c r="AG497" s="25"/>
    </row>
    <row r="498" spans="25:33" ht="12">
      <c r="Y498" s="25"/>
      <c r="AE498" s="25"/>
      <c r="AG498" s="25"/>
    </row>
    <row r="499" spans="25:33" ht="12">
      <c r="Y499" s="25"/>
      <c r="AE499" s="25"/>
      <c r="AG499" s="25"/>
    </row>
    <row r="500" spans="25:33" ht="12">
      <c r="Y500" s="25"/>
      <c r="AE500" s="25"/>
      <c r="AG500" s="25"/>
    </row>
    <row r="501" spans="25:33" ht="12">
      <c r="Y501" s="25"/>
      <c r="AE501" s="25"/>
      <c r="AG501" s="25"/>
    </row>
    <row r="502" spans="25:33" ht="12">
      <c r="Y502" s="25"/>
      <c r="AE502" s="25"/>
      <c r="AG502" s="25"/>
    </row>
    <row r="503" spans="25:33" ht="12">
      <c r="Y503" s="25"/>
      <c r="AE503" s="25"/>
      <c r="AG503" s="25"/>
    </row>
    <row r="504" spans="25:33" ht="12">
      <c r="Y504" s="25"/>
      <c r="AE504" s="25"/>
      <c r="AG504" s="25"/>
    </row>
    <row r="505" spans="25:33" ht="12">
      <c r="Y505" s="25"/>
      <c r="AE505" s="25"/>
      <c r="AG505" s="25"/>
    </row>
    <row r="506" spans="25:33" ht="12">
      <c r="Y506" s="25"/>
      <c r="AE506" s="25"/>
      <c r="AG506" s="25"/>
    </row>
    <row r="507" spans="25:33" ht="12">
      <c r="Y507" s="25"/>
      <c r="AE507" s="25"/>
      <c r="AG507" s="25"/>
    </row>
    <row r="508" spans="25:33" ht="12">
      <c r="Y508" s="25"/>
      <c r="AE508" s="25"/>
      <c r="AG508" s="25"/>
    </row>
    <row r="509" spans="25:33" ht="12">
      <c r="Y509" s="25"/>
      <c r="AE509" s="25"/>
      <c r="AG509" s="25"/>
    </row>
    <row r="510" spans="25:33" ht="12">
      <c r="Y510" s="25"/>
      <c r="AE510" s="25"/>
      <c r="AG510" s="25"/>
    </row>
    <row r="511" spans="25:33" ht="12">
      <c r="Y511" s="25"/>
      <c r="AE511" s="25"/>
      <c r="AG511" s="25"/>
    </row>
    <row r="512" spans="25:33" ht="12">
      <c r="Y512" s="25"/>
      <c r="AE512" s="25"/>
      <c r="AG512" s="25"/>
    </row>
    <row r="513" spans="25:33" ht="12">
      <c r="Y513" s="25"/>
      <c r="AE513" s="25"/>
      <c r="AG513" s="25"/>
    </row>
    <row r="514" spans="25:33" ht="12">
      <c r="Y514" s="25"/>
      <c r="AE514" s="25"/>
      <c r="AG514" s="25"/>
    </row>
    <row r="515" spans="25:33" ht="12">
      <c r="Y515" s="25"/>
      <c r="AE515" s="25"/>
      <c r="AG515" s="25"/>
    </row>
    <row r="516" spans="25:33" ht="12">
      <c r="Y516" s="25"/>
      <c r="AE516" s="25"/>
      <c r="AG516" s="25"/>
    </row>
    <row r="517" spans="25:33" ht="12">
      <c r="Y517" s="25"/>
      <c r="AE517" s="25"/>
      <c r="AG517" s="25"/>
    </row>
    <row r="518" spans="25:33" ht="12">
      <c r="Y518" s="25"/>
      <c r="AE518" s="25"/>
      <c r="AG518" s="25"/>
    </row>
    <row r="519" spans="25:33" ht="12">
      <c r="Y519" s="25"/>
      <c r="AE519" s="25"/>
      <c r="AG519" s="25"/>
    </row>
    <row r="520" spans="25:33" ht="12">
      <c r="Y520" s="25"/>
      <c r="AE520" s="25"/>
      <c r="AG520" s="25"/>
    </row>
    <row r="521" spans="25:33" ht="12">
      <c r="Y521" s="25"/>
      <c r="AE521" s="25"/>
      <c r="AG521" s="25"/>
    </row>
    <row r="522" spans="25:33" ht="12">
      <c r="Y522" s="25"/>
      <c r="AE522" s="25"/>
      <c r="AG522" s="25"/>
    </row>
    <row r="523" spans="25:33" ht="12">
      <c r="Y523" s="25"/>
      <c r="AE523" s="25"/>
      <c r="AG523" s="25"/>
    </row>
    <row r="524" spans="25:33" ht="12">
      <c r="Y524" s="25"/>
      <c r="AE524" s="25"/>
      <c r="AG524" s="25"/>
    </row>
    <row r="525" spans="25:33" ht="12">
      <c r="Y525" s="25"/>
      <c r="AE525" s="25"/>
      <c r="AG525" s="25"/>
    </row>
    <row r="526" spans="25:33" ht="12">
      <c r="Y526" s="25"/>
      <c r="AE526" s="25"/>
      <c r="AG526" s="25"/>
    </row>
    <row r="527" spans="25:33" ht="12">
      <c r="Y527" s="25"/>
      <c r="AE527" s="25"/>
      <c r="AG527" s="25"/>
    </row>
    <row r="528" spans="25:33" ht="12">
      <c r="Y528" s="25"/>
      <c r="AE528" s="25"/>
      <c r="AG528" s="25"/>
    </row>
    <row r="529" spans="25:33" ht="12">
      <c r="Y529" s="25"/>
      <c r="AE529" s="25"/>
      <c r="AG529" s="25"/>
    </row>
    <row r="530" spans="25:33" ht="12">
      <c r="Y530" s="25"/>
      <c r="AE530" s="25"/>
      <c r="AG530" s="25"/>
    </row>
    <row r="531" spans="25:33" ht="12">
      <c r="Y531" s="25"/>
      <c r="AE531" s="25"/>
      <c r="AG531" s="25"/>
    </row>
    <row r="532" spans="25:33" ht="12">
      <c r="Y532" s="25"/>
      <c r="AE532" s="25"/>
      <c r="AG532" s="25"/>
    </row>
    <row r="533" spans="25:33" ht="12">
      <c r="Y533" s="25"/>
      <c r="AE533" s="25"/>
      <c r="AG533" s="25"/>
    </row>
    <row r="534" spans="25:33" ht="12">
      <c r="Y534" s="25"/>
      <c r="AE534" s="25"/>
      <c r="AG534" s="25"/>
    </row>
    <row r="535" spans="25:33" ht="12">
      <c r="Y535" s="25"/>
      <c r="AE535" s="25"/>
      <c r="AG535" s="25"/>
    </row>
    <row r="536" spans="25:33" ht="12">
      <c r="Y536" s="25"/>
      <c r="AE536" s="25"/>
      <c r="AG536" s="25"/>
    </row>
    <row r="537" spans="25:33" ht="12">
      <c r="Y537" s="25"/>
      <c r="AE537" s="25"/>
      <c r="AG537" s="25"/>
    </row>
    <row r="538" spans="25:33" ht="12">
      <c r="Y538" s="25"/>
      <c r="AE538" s="25"/>
      <c r="AG538" s="25"/>
    </row>
    <row r="539" spans="25:33" ht="12">
      <c r="Y539" s="25"/>
      <c r="AE539" s="25"/>
      <c r="AG539" s="25"/>
    </row>
    <row r="540" spans="25:33" ht="12">
      <c r="Y540" s="25"/>
      <c r="AE540" s="25"/>
      <c r="AG540" s="25"/>
    </row>
    <row r="541" spans="25:33" ht="12">
      <c r="Y541" s="25"/>
      <c r="AE541" s="25"/>
      <c r="AG541" s="25"/>
    </row>
    <row r="542" spans="25:33" ht="12">
      <c r="Y542" s="25"/>
      <c r="AE542" s="25"/>
      <c r="AG542" s="25"/>
    </row>
    <row r="543" spans="25:33" ht="12">
      <c r="Y543" s="25"/>
      <c r="AE543" s="25"/>
      <c r="AG543" s="25"/>
    </row>
    <row r="544" spans="25:33" ht="12">
      <c r="Y544" s="25"/>
      <c r="AE544" s="25"/>
      <c r="AG544" s="25"/>
    </row>
    <row r="545" spans="25:33" ht="12">
      <c r="Y545" s="25"/>
      <c r="AE545" s="25"/>
      <c r="AG545" s="25"/>
    </row>
    <row r="546" spans="25:33" ht="12">
      <c r="Y546" s="25"/>
      <c r="AE546" s="25"/>
      <c r="AG546" s="25"/>
    </row>
    <row r="547" spans="25:33" ht="12">
      <c r="Y547" s="25"/>
      <c r="AE547" s="25"/>
      <c r="AG547" s="25"/>
    </row>
    <row r="548" spans="25:33" ht="12">
      <c r="Y548" s="25"/>
      <c r="AE548" s="25"/>
      <c r="AG548" s="25"/>
    </row>
    <row r="549" spans="25:33" ht="12">
      <c r="Y549" s="25"/>
      <c r="AE549" s="25"/>
      <c r="AG549" s="25"/>
    </row>
    <row r="550" spans="25:33" ht="12">
      <c r="Y550" s="25"/>
      <c r="AE550" s="25"/>
      <c r="AG550" s="25"/>
    </row>
    <row r="551" spans="25:33" ht="12">
      <c r="Y551" s="25"/>
      <c r="AE551" s="25"/>
      <c r="AG551" s="25"/>
    </row>
    <row r="552" spans="25:33" ht="12">
      <c r="Y552" s="25"/>
      <c r="AE552" s="25"/>
      <c r="AG552" s="25"/>
    </row>
    <row r="553" spans="25:33" ht="12">
      <c r="Y553" s="25"/>
      <c r="AE553" s="25"/>
      <c r="AG553" s="25"/>
    </row>
    <row r="554" spans="25:33" ht="12">
      <c r="Y554" s="25"/>
      <c r="AE554" s="25"/>
      <c r="AG554" s="25"/>
    </row>
    <row r="555" spans="25:33" ht="12">
      <c r="Y555" s="25"/>
      <c r="AE555" s="25"/>
      <c r="AG555" s="25"/>
    </row>
    <row r="556" spans="25:33" ht="12">
      <c r="Y556" s="25"/>
      <c r="AE556" s="25"/>
      <c r="AG556" s="25"/>
    </row>
    <row r="557" spans="25:33" ht="12">
      <c r="Y557" s="25"/>
      <c r="AE557" s="25"/>
      <c r="AG557" s="25"/>
    </row>
    <row r="558" spans="25:33" ht="12">
      <c r="Y558" s="25"/>
      <c r="AE558" s="25"/>
      <c r="AG558" s="25"/>
    </row>
    <row r="559" spans="25:33" ht="12">
      <c r="Y559" s="25"/>
      <c r="AE559" s="25"/>
      <c r="AG559" s="25"/>
    </row>
    <row r="560" spans="25:33" ht="12">
      <c r="Y560" s="25"/>
      <c r="AE560" s="25"/>
      <c r="AG560" s="25"/>
    </row>
    <row r="561" spans="25:33" ht="12">
      <c r="Y561" s="25"/>
      <c r="AE561" s="25"/>
      <c r="AG561" s="25"/>
    </row>
    <row r="562" spans="25:33" ht="12">
      <c r="Y562" s="25"/>
      <c r="AE562" s="25"/>
      <c r="AG562" s="25"/>
    </row>
    <row r="563" spans="25:33" ht="12">
      <c r="Y563" s="25"/>
      <c r="AE563" s="25"/>
      <c r="AG563" s="25"/>
    </row>
    <row r="564" spans="25:33" ht="12">
      <c r="Y564" s="25"/>
      <c r="AE564" s="25"/>
      <c r="AG564" s="25"/>
    </row>
    <row r="565" spans="25:33" ht="12">
      <c r="Y565" s="25"/>
      <c r="AE565" s="25"/>
      <c r="AG565" s="25"/>
    </row>
    <row r="566" spans="25:33" ht="12">
      <c r="Y566" s="25"/>
      <c r="AE566" s="25"/>
      <c r="AG566" s="25"/>
    </row>
    <row r="567" spans="25:33" ht="12">
      <c r="Y567" s="25"/>
      <c r="AE567" s="25"/>
      <c r="AG567" s="25"/>
    </row>
    <row r="568" spans="25:33" ht="12">
      <c r="Y568" s="25"/>
      <c r="AE568" s="25"/>
      <c r="AG568" s="25"/>
    </row>
    <row r="569" spans="25:33" ht="12">
      <c r="Y569" s="25"/>
      <c r="AE569" s="25"/>
      <c r="AG569" s="25"/>
    </row>
    <row r="570" spans="25:33" ht="12">
      <c r="Y570" s="25"/>
      <c r="AE570" s="25"/>
      <c r="AG570" s="25"/>
    </row>
    <row r="571" spans="25:33" ht="12">
      <c r="Y571" s="25"/>
      <c r="AE571" s="25"/>
      <c r="AG571" s="25"/>
    </row>
    <row r="572" spans="25:33" ht="12">
      <c r="Y572" s="25"/>
      <c r="AE572" s="25"/>
      <c r="AG572" s="25"/>
    </row>
    <row r="573" spans="25:33" ht="12">
      <c r="Y573" s="25"/>
      <c r="AE573" s="25"/>
      <c r="AG573" s="25"/>
    </row>
    <row r="574" spans="25:33" ht="12">
      <c r="Y574" s="25"/>
      <c r="AE574" s="25"/>
      <c r="AG574" s="25"/>
    </row>
    <row r="575" spans="25:33" ht="12">
      <c r="Y575" s="25"/>
      <c r="AE575" s="25"/>
      <c r="AG575" s="25"/>
    </row>
    <row r="576" spans="25:33" ht="12">
      <c r="Y576" s="25"/>
      <c r="AE576" s="25"/>
      <c r="AG576" s="25"/>
    </row>
    <row r="577" spans="25:33" ht="12">
      <c r="Y577" s="25"/>
      <c r="AE577" s="25"/>
      <c r="AG577" s="25"/>
    </row>
    <row r="578" spans="25:33" ht="12">
      <c r="Y578" s="25"/>
      <c r="AE578" s="25"/>
      <c r="AG578" s="25"/>
    </row>
    <row r="579" spans="25:33" ht="12">
      <c r="Y579" s="25"/>
      <c r="AE579" s="25"/>
      <c r="AG579" s="25"/>
    </row>
    <row r="580" spans="25:33" ht="12">
      <c r="Y580" s="25"/>
      <c r="AE580" s="25"/>
      <c r="AG580" s="25"/>
    </row>
    <row r="581" spans="25:33" ht="12">
      <c r="Y581" s="25"/>
      <c r="AE581" s="25"/>
      <c r="AG581" s="25"/>
    </row>
    <row r="582" spans="25:33" ht="12">
      <c r="Y582" s="25"/>
      <c r="AE582" s="25"/>
      <c r="AG582" s="25"/>
    </row>
    <row r="583" spans="25:33" ht="12">
      <c r="Y583" s="25"/>
      <c r="AE583" s="25"/>
      <c r="AG583" s="25"/>
    </row>
    <row r="584" spans="25:33" ht="12">
      <c r="Y584" s="25"/>
      <c r="AE584" s="25"/>
      <c r="AG584" s="25"/>
    </row>
    <row r="585" spans="25:33" ht="12">
      <c r="Y585" s="25"/>
      <c r="AE585" s="25"/>
      <c r="AG585" s="25"/>
    </row>
    <row r="586" spans="25:33" ht="12">
      <c r="Y586" s="25"/>
      <c r="AE586" s="25"/>
      <c r="AG586" s="25"/>
    </row>
    <row r="587" spans="25:33" ht="12">
      <c r="Y587" s="25"/>
      <c r="AE587" s="25"/>
      <c r="AG587" s="25"/>
    </row>
    <row r="588" spans="25:33" ht="12">
      <c r="Y588" s="25"/>
      <c r="AE588" s="25"/>
      <c r="AG588" s="25"/>
    </row>
    <row r="589" spans="25:33" ht="12">
      <c r="Y589" s="25"/>
      <c r="AE589" s="25"/>
      <c r="AG589" s="25"/>
    </row>
    <row r="590" spans="25:33" ht="12">
      <c r="Y590" s="25"/>
      <c r="AE590" s="25"/>
      <c r="AG590" s="25"/>
    </row>
    <row r="591" spans="25:33" ht="12">
      <c r="Y591" s="25"/>
      <c r="AE591" s="25"/>
      <c r="AG591" s="25"/>
    </row>
    <row r="592" spans="25:33" ht="12">
      <c r="Y592" s="25"/>
      <c r="AE592" s="25"/>
      <c r="AG592" s="25"/>
    </row>
    <row r="593" spans="25:33" ht="12">
      <c r="Y593" s="25"/>
      <c r="AE593" s="25"/>
      <c r="AG593" s="25"/>
    </row>
    <row r="594" spans="25:33" ht="12">
      <c r="Y594" s="25"/>
      <c r="AE594" s="25"/>
      <c r="AG594" s="25"/>
    </row>
    <row r="595" spans="25:33" ht="12">
      <c r="Y595" s="25"/>
      <c r="AE595" s="25"/>
      <c r="AG595" s="25"/>
    </row>
    <row r="596" spans="25:33" ht="12">
      <c r="Y596" s="25"/>
      <c r="AE596" s="25"/>
      <c r="AG596" s="25"/>
    </row>
    <row r="597" spans="25:33" ht="12">
      <c r="Y597" s="25"/>
      <c r="AE597" s="25"/>
      <c r="AG597" s="25"/>
    </row>
    <row r="598" spans="25:33" ht="12">
      <c r="Y598" s="25"/>
      <c r="AE598" s="25"/>
      <c r="AG598" s="25"/>
    </row>
    <row r="599" spans="25:33" ht="12">
      <c r="Y599" s="25"/>
      <c r="AE599" s="25"/>
      <c r="AG599" s="25"/>
    </row>
    <row r="600" spans="25:33" ht="12">
      <c r="Y600" s="25"/>
      <c r="AE600" s="25"/>
      <c r="AG600" s="25"/>
    </row>
    <row r="601" spans="25:33" ht="12">
      <c r="Y601" s="25"/>
      <c r="AE601" s="25"/>
      <c r="AG601" s="25"/>
    </row>
    <row r="602" spans="25:33" ht="12">
      <c r="Y602" s="25"/>
      <c r="AE602" s="25"/>
      <c r="AG602" s="25"/>
    </row>
    <row r="603" spans="25:33" ht="12">
      <c r="Y603" s="25"/>
      <c r="AE603" s="25"/>
      <c r="AG603" s="25"/>
    </row>
    <row r="604" spans="25:33" ht="12">
      <c r="Y604" s="25"/>
      <c r="AE604" s="25"/>
      <c r="AG604" s="25"/>
    </row>
    <row r="605" spans="25:33" ht="12">
      <c r="Y605" s="25"/>
      <c r="AE605" s="25"/>
      <c r="AG605" s="25"/>
    </row>
    <row r="606" spans="25:33" ht="12">
      <c r="Y606" s="25"/>
      <c r="AE606" s="25"/>
      <c r="AG606" s="25"/>
    </row>
    <row r="607" spans="25:33" ht="12">
      <c r="Y607" s="25"/>
      <c r="AE607" s="25"/>
      <c r="AG607" s="25"/>
    </row>
    <row r="608" spans="25:33" ht="12">
      <c r="Y608" s="25"/>
      <c r="AE608" s="25"/>
      <c r="AG608" s="25"/>
    </row>
    <row r="609" spans="25:33" ht="12">
      <c r="Y609" s="25"/>
      <c r="AE609" s="25"/>
      <c r="AG609" s="25"/>
    </row>
    <row r="610" spans="25:33" ht="12">
      <c r="Y610" s="25"/>
      <c r="AE610" s="25"/>
      <c r="AG610" s="25"/>
    </row>
    <row r="611" spans="25:33" ht="12">
      <c r="Y611" s="25"/>
      <c r="AE611" s="25"/>
      <c r="AG611" s="25"/>
    </row>
    <row r="612" spans="25:33" ht="12">
      <c r="Y612" s="25"/>
      <c r="AE612" s="25"/>
      <c r="AG612" s="25"/>
    </row>
    <row r="613" spans="25:33" ht="12">
      <c r="Y613" s="25"/>
      <c r="AE613" s="25"/>
      <c r="AG613" s="25"/>
    </row>
    <row r="614" spans="25:33" ht="12">
      <c r="Y614" s="25"/>
      <c r="AE614" s="25"/>
      <c r="AG614" s="25"/>
    </row>
    <row r="615" spans="25:33" ht="12">
      <c r="Y615" s="25"/>
      <c r="AE615" s="25"/>
      <c r="AG615" s="25"/>
    </row>
    <row r="616" spans="25:33" ht="12">
      <c r="Y616" s="25"/>
      <c r="AE616" s="25"/>
      <c r="AG616" s="25"/>
    </row>
    <row r="617" spans="25:33" ht="12">
      <c r="Y617" s="25"/>
      <c r="AE617" s="25"/>
      <c r="AG617" s="25"/>
    </row>
    <row r="618" spans="25:33" ht="12">
      <c r="Y618" s="25"/>
      <c r="AE618" s="25"/>
      <c r="AG618" s="25"/>
    </row>
    <row r="619" spans="25:33" ht="12">
      <c r="Y619" s="25"/>
      <c r="AE619" s="25"/>
      <c r="AG619" s="25"/>
    </row>
    <row r="620" spans="25:33" ht="12">
      <c r="Y620" s="25"/>
      <c r="AE620" s="25"/>
      <c r="AG620" s="25"/>
    </row>
    <row r="621" spans="25:33" ht="12">
      <c r="Y621" s="25"/>
      <c r="AE621" s="25"/>
      <c r="AG621" s="25"/>
    </row>
    <row r="622" spans="25:33" ht="12">
      <c r="Y622" s="25"/>
      <c r="AE622" s="25"/>
      <c r="AG622" s="25"/>
    </row>
    <row r="623" spans="25:33" ht="12">
      <c r="Y623" s="25"/>
      <c r="AE623" s="25"/>
      <c r="AG623" s="25"/>
    </row>
    <row r="624" spans="25:33" ht="12">
      <c r="Y624" s="25"/>
      <c r="AE624" s="25"/>
      <c r="AG624" s="25"/>
    </row>
    <row r="625" spans="25:33" ht="12">
      <c r="Y625" s="25"/>
      <c r="AE625" s="25"/>
      <c r="AG625" s="25"/>
    </row>
    <row r="626" spans="25:33" ht="12">
      <c r="Y626" s="25"/>
      <c r="AE626" s="25"/>
      <c r="AG626" s="25"/>
    </row>
    <row r="627" spans="25:33" ht="12">
      <c r="Y627" s="25"/>
      <c r="AE627" s="25"/>
      <c r="AG627" s="25"/>
    </row>
    <row r="628" spans="25:33" ht="12">
      <c r="Y628" s="25"/>
      <c r="AE628" s="25"/>
      <c r="AG628" s="25"/>
    </row>
    <row r="629" spans="25:33" ht="12">
      <c r="Y629" s="25"/>
      <c r="AE629" s="25"/>
      <c r="AG629" s="25"/>
    </row>
    <row r="630" spans="25:33" ht="12">
      <c r="Y630" s="25"/>
      <c r="AE630" s="25"/>
      <c r="AG630" s="25"/>
    </row>
    <row r="631" spans="25:33" ht="12">
      <c r="Y631" s="25"/>
      <c r="AE631" s="25"/>
      <c r="AG631" s="25"/>
    </row>
    <row r="632" spans="25:33" ht="12">
      <c r="Y632" s="25"/>
      <c r="AE632" s="25"/>
      <c r="AG632" s="25"/>
    </row>
    <row r="633" spans="25:33" ht="12">
      <c r="Y633" s="25"/>
      <c r="AE633" s="25"/>
      <c r="AG633" s="25"/>
    </row>
    <row r="634" spans="25:33" ht="12">
      <c r="Y634" s="25"/>
      <c r="AE634" s="25"/>
      <c r="AG634" s="25"/>
    </row>
    <row r="635" spans="25:33" ht="12">
      <c r="Y635" s="25"/>
      <c r="AE635" s="25"/>
      <c r="AG635" s="25"/>
    </row>
    <row r="636" spans="25:33" ht="12">
      <c r="Y636" s="25"/>
      <c r="AE636" s="25"/>
      <c r="AG636" s="25"/>
    </row>
    <row r="637" spans="25:33" ht="12">
      <c r="Y637" s="25"/>
      <c r="AE637" s="25"/>
      <c r="AG637" s="25"/>
    </row>
    <row r="638" spans="25:33" ht="12">
      <c r="Y638" s="25"/>
      <c r="AE638" s="25"/>
      <c r="AG638" s="25"/>
    </row>
    <row r="639" spans="25:33" ht="12">
      <c r="Y639" s="25"/>
      <c r="AE639" s="25"/>
      <c r="AG639" s="25"/>
    </row>
    <row r="640" spans="25:33" ht="12">
      <c r="Y640" s="25"/>
      <c r="AE640" s="25"/>
      <c r="AG640" s="25"/>
    </row>
    <row r="641" spans="25:33" ht="12">
      <c r="Y641" s="25"/>
      <c r="AE641" s="25"/>
      <c r="AG641" s="25"/>
    </row>
    <row r="642" spans="25:33" ht="12">
      <c r="Y642" s="25"/>
      <c r="AE642" s="25"/>
      <c r="AG642" s="25"/>
    </row>
    <row r="643" spans="25:33" ht="12">
      <c r="Y643" s="25"/>
      <c r="AE643" s="25"/>
      <c r="AG643" s="25"/>
    </row>
    <row r="644" spans="25:33" ht="12">
      <c r="Y644" s="25"/>
      <c r="AE644" s="25"/>
      <c r="AG644" s="25"/>
    </row>
    <row r="645" spans="25:33" ht="12">
      <c r="Y645" s="25"/>
      <c r="AE645" s="25"/>
      <c r="AG645" s="25"/>
    </row>
    <row r="646" spans="25:33" ht="12">
      <c r="Y646" s="25"/>
      <c r="AE646" s="25"/>
      <c r="AG646" s="25"/>
    </row>
    <row r="647" spans="25:33" ht="12">
      <c r="Y647" s="25"/>
      <c r="AE647" s="25"/>
      <c r="AG647" s="25"/>
    </row>
    <row r="648" spans="25:33" ht="12">
      <c r="Y648" s="25"/>
      <c r="AE648" s="25"/>
      <c r="AG648" s="25"/>
    </row>
    <row r="649" spans="25:33" ht="12">
      <c r="Y649" s="25"/>
      <c r="AE649" s="25"/>
      <c r="AG649" s="25"/>
    </row>
    <row r="650" spans="25:33" ht="12">
      <c r="Y650" s="25"/>
      <c r="AE650" s="25"/>
      <c r="AG650" s="25"/>
    </row>
    <row r="651" spans="25:33" ht="12">
      <c r="Y651" s="25"/>
      <c r="AE651" s="25"/>
      <c r="AG651" s="25"/>
    </row>
    <row r="652" spans="25:33" ht="12">
      <c r="Y652" s="25"/>
      <c r="AE652" s="25"/>
      <c r="AG652" s="25"/>
    </row>
    <row r="653" spans="25:33" ht="12">
      <c r="Y653" s="25"/>
      <c r="AE653" s="25"/>
      <c r="AG653" s="25"/>
    </row>
    <row r="654" spans="25:33" ht="12">
      <c r="Y654" s="25"/>
      <c r="AE654" s="25"/>
      <c r="AG654" s="25"/>
    </row>
    <row r="655" spans="25:33" ht="12">
      <c r="Y655" s="25"/>
      <c r="AE655" s="25"/>
      <c r="AG655" s="25"/>
    </row>
    <row r="656" spans="25:33" ht="12">
      <c r="Y656" s="25"/>
      <c r="AE656" s="25"/>
      <c r="AG656" s="25"/>
    </row>
    <row r="657" spans="25:33" ht="12">
      <c r="Y657" s="25"/>
      <c r="AE657" s="25"/>
      <c r="AG657" s="25"/>
    </row>
    <row r="658" spans="25:33" ht="12">
      <c r="Y658" s="25"/>
      <c r="AE658" s="25"/>
      <c r="AG658" s="25"/>
    </row>
    <row r="659" spans="25:33" ht="12">
      <c r="Y659" s="25"/>
      <c r="AE659" s="25"/>
      <c r="AG659" s="25"/>
    </row>
    <row r="660" spans="25:33" ht="12">
      <c r="Y660" s="25"/>
      <c r="AE660" s="25"/>
      <c r="AG660" s="25"/>
    </row>
    <row r="661" spans="25:33" ht="12">
      <c r="Y661" s="25"/>
      <c r="AE661" s="25"/>
      <c r="AG661" s="25"/>
    </row>
    <row r="662" spans="25:33" ht="12">
      <c r="Y662" s="25"/>
      <c r="AE662" s="25"/>
      <c r="AG662" s="25"/>
    </row>
    <row r="663" spans="25:33" ht="12">
      <c r="Y663" s="25"/>
      <c r="AE663" s="25"/>
      <c r="AG663" s="25"/>
    </row>
    <row r="664" spans="25:33" ht="12">
      <c r="Y664" s="25"/>
      <c r="AE664" s="25"/>
      <c r="AG664" s="25"/>
    </row>
    <row r="665" spans="25:33" ht="12">
      <c r="Y665" s="25"/>
      <c r="AE665" s="25"/>
      <c r="AG665" s="25"/>
    </row>
    <row r="666" spans="25:33" ht="12">
      <c r="Y666" s="25"/>
      <c r="AE666" s="25"/>
      <c r="AG666" s="25"/>
    </row>
    <row r="667" spans="25:33" ht="12">
      <c r="Y667" s="25"/>
      <c r="AE667" s="25"/>
      <c r="AG667" s="25"/>
    </row>
    <row r="668" spans="25:33" ht="12">
      <c r="Y668" s="25"/>
      <c r="AE668" s="25"/>
      <c r="AG668" s="25"/>
    </row>
    <row r="669" spans="25:33" ht="12">
      <c r="Y669" s="25"/>
      <c r="AE669" s="25"/>
      <c r="AG669" s="25"/>
    </row>
    <row r="670" spans="25:33" ht="12">
      <c r="Y670" s="25"/>
      <c r="AE670" s="25"/>
      <c r="AG670" s="25"/>
    </row>
    <row r="671" spans="25:33" ht="12">
      <c r="Y671" s="25"/>
      <c r="AE671" s="25"/>
      <c r="AG671" s="25"/>
    </row>
    <row r="672" spans="25:33" ht="12">
      <c r="Y672" s="25"/>
      <c r="AE672" s="25"/>
      <c r="AG672" s="25"/>
    </row>
    <row r="673" spans="25:33" ht="12">
      <c r="Y673" s="25"/>
      <c r="AE673" s="25"/>
      <c r="AG673" s="25"/>
    </row>
    <row r="674" spans="25:33" ht="12">
      <c r="Y674" s="25"/>
      <c r="AE674" s="25"/>
      <c r="AG674" s="25"/>
    </row>
    <row r="675" spans="25:33" ht="12">
      <c r="Y675" s="25"/>
      <c r="AE675" s="25"/>
      <c r="AG675" s="25"/>
    </row>
    <row r="676" spans="25:33" ht="12">
      <c r="Y676" s="25"/>
      <c r="AE676" s="25"/>
      <c r="AG676" s="25"/>
    </row>
    <row r="677" spans="25:33" ht="12">
      <c r="Y677" s="25"/>
      <c r="AE677" s="25"/>
      <c r="AG677" s="25"/>
    </row>
    <row r="678" spans="25:33" ht="12">
      <c r="Y678" s="25"/>
      <c r="AE678" s="25"/>
      <c r="AG678" s="25"/>
    </row>
    <row r="679" spans="25:33" ht="12">
      <c r="Y679" s="25"/>
      <c r="AE679" s="25"/>
      <c r="AG679" s="25"/>
    </row>
    <row r="680" spans="25:33" ht="12">
      <c r="Y680" s="25"/>
      <c r="AE680" s="25"/>
      <c r="AG680" s="25"/>
    </row>
    <row r="681" spans="25:33" ht="12">
      <c r="Y681" s="25"/>
      <c r="AE681" s="25"/>
      <c r="AG681" s="25"/>
    </row>
    <row r="682" spans="25:33" ht="12">
      <c r="Y682" s="25"/>
      <c r="AE682" s="25"/>
      <c r="AG682" s="25"/>
    </row>
    <row r="683" spans="25:33" ht="12">
      <c r="Y683" s="25"/>
      <c r="AE683" s="25"/>
      <c r="AG683" s="25"/>
    </row>
    <row r="684" spans="25:33" ht="12">
      <c r="Y684" s="25"/>
      <c r="AE684" s="25"/>
      <c r="AG684" s="25"/>
    </row>
    <row r="685" spans="25:33" ht="12">
      <c r="Y685" s="25"/>
      <c r="AE685" s="25"/>
      <c r="AG685" s="25"/>
    </row>
    <row r="686" spans="25:33" ht="12">
      <c r="Y686" s="25"/>
      <c r="AE686" s="25"/>
      <c r="AG686" s="25"/>
    </row>
    <row r="687" spans="25:33" ht="12">
      <c r="Y687" s="25"/>
      <c r="AE687" s="25"/>
      <c r="AG687" s="25"/>
    </row>
    <row r="688" spans="25:33" ht="12">
      <c r="Y688" s="25"/>
      <c r="AE688" s="25"/>
      <c r="AG688" s="25"/>
    </row>
    <row r="689" spans="25:33" ht="12">
      <c r="Y689" s="25"/>
      <c r="AE689" s="25"/>
      <c r="AG689" s="25"/>
    </row>
    <row r="690" spans="25:33" ht="12">
      <c r="Y690" s="25"/>
      <c r="AE690" s="25"/>
      <c r="AG690" s="25"/>
    </row>
    <row r="691" spans="25:33" ht="12">
      <c r="Y691" s="25"/>
      <c r="AE691" s="25"/>
      <c r="AG691" s="25"/>
    </row>
    <row r="692" spans="25:33" ht="12">
      <c r="Y692" s="25"/>
      <c r="AE692" s="25"/>
      <c r="AG692" s="25"/>
    </row>
    <row r="693" spans="25:33" ht="12">
      <c r="Y693" s="25"/>
      <c r="AE693" s="25"/>
      <c r="AG693" s="25"/>
    </row>
    <row r="694" spans="25:33" ht="12">
      <c r="Y694" s="25"/>
      <c r="AE694" s="25"/>
      <c r="AG694" s="25"/>
    </row>
    <row r="695" spans="25:33" ht="12">
      <c r="Y695" s="25"/>
      <c r="AE695" s="25"/>
      <c r="AG695" s="25"/>
    </row>
    <row r="696" spans="25:33" ht="12">
      <c r="Y696" s="25"/>
      <c r="AE696" s="25"/>
      <c r="AG696" s="25"/>
    </row>
    <row r="697" spans="25:33" ht="12">
      <c r="Y697" s="25"/>
      <c r="AE697" s="25"/>
      <c r="AG697" s="25"/>
    </row>
    <row r="698" spans="25:33" ht="12">
      <c r="Y698" s="25"/>
      <c r="AE698" s="25"/>
      <c r="AG698" s="25"/>
    </row>
    <row r="699" spans="25:33" ht="12">
      <c r="Y699" s="25"/>
      <c r="AE699" s="25"/>
      <c r="AG699" s="25"/>
    </row>
    <row r="700" spans="25:33" ht="12">
      <c r="Y700" s="25"/>
      <c r="AE700" s="25"/>
      <c r="AG700" s="25"/>
    </row>
    <row r="701" spans="25:33" ht="12">
      <c r="Y701" s="25"/>
      <c r="AE701" s="25"/>
      <c r="AG701" s="25"/>
    </row>
    <row r="702" spans="25:33" ht="12">
      <c r="Y702" s="25"/>
      <c r="AE702" s="25"/>
      <c r="AG702" s="25"/>
    </row>
    <row r="703" spans="25:33" ht="12">
      <c r="Y703" s="25"/>
      <c r="AE703" s="25"/>
      <c r="AG703" s="25"/>
    </row>
    <row r="704" spans="25:33" ht="12">
      <c r="Y704" s="25"/>
      <c r="AE704" s="25"/>
      <c r="AG704" s="25"/>
    </row>
    <row r="705" spans="25:33" ht="12">
      <c r="Y705" s="25"/>
      <c r="AE705" s="25"/>
      <c r="AG705" s="25"/>
    </row>
    <row r="706" spans="25:33" ht="12">
      <c r="Y706" s="25"/>
      <c r="AE706" s="25"/>
      <c r="AG706" s="25"/>
    </row>
    <row r="707" spans="25:33" ht="12">
      <c r="Y707" s="25"/>
      <c r="AE707" s="25"/>
      <c r="AG707" s="25"/>
    </row>
    <row r="708" spans="25:33" ht="12">
      <c r="Y708" s="25"/>
      <c r="AE708" s="25"/>
      <c r="AG708" s="25"/>
    </row>
    <row r="709" spans="25:33" ht="12">
      <c r="Y709" s="25"/>
      <c r="AE709" s="25"/>
      <c r="AG709" s="25"/>
    </row>
    <row r="710" spans="25:33" ht="12">
      <c r="Y710" s="25"/>
      <c r="AE710" s="25"/>
      <c r="AG710" s="25"/>
    </row>
    <row r="711" spans="25:33" ht="12">
      <c r="Y711" s="25"/>
      <c r="AE711" s="25"/>
      <c r="AG711" s="25"/>
    </row>
    <row r="712" spans="25:33" ht="12">
      <c r="Y712" s="25"/>
      <c r="AE712" s="25"/>
      <c r="AG712" s="25"/>
    </row>
    <row r="713" spans="25:33" ht="12">
      <c r="Y713" s="25"/>
      <c r="AE713" s="25"/>
      <c r="AG713" s="25"/>
    </row>
    <row r="714" spans="25:33" ht="12">
      <c r="Y714" s="25"/>
      <c r="AE714" s="25"/>
      <c r="AG714" s="25"/>
    </row>
    <row r="715" spans="25:33" ht="12">
      <c r="Y715" s="25"/>
      <c r="AE715" s="25"/>
      <c r="AG715" s="25"/>
    </row>
    <row r="716" spans="25:33" ht="12">
      <c r="Y716" s="25"/>
      <c r="AE716" s="25"/>
      <c r="AG716" s="25"/>
    </row>
    <row r="717" spans="25:33" ht="12">
      <c r="Y717" s="25"/>
      <c r="AE717" s="25"/>
      <c r="AG717" s="25"/>
    </row>
    <row r="718" spans="25:33" ht="12">
      <c r="Y718" s="25"/>
      <c r="AE718" s="25"/>
      <c r="AG718" s="25"/>
    </row>
    <row r="719" spans="25:33" ht="12">
      <c r="Y719" s="25"/>
      <c r="AE719" s="25"/>
      <c r="AG719" s="25"/>
    </row>
    <row r="720" spans="25:33" ht="12">
      <c r="Y720" s="25"/>
      <c r="AE720" s="25"/>
      <c r="AG720" s="25"/>
    </row>
    <row r="721" spans="25:33" ht="12">
      <c r="Y721" s="25"/>
      <c r="AE721" s="25"/>
      <c r="AG721" s="25"/>
    </row>
    <row r="722" spans="25:33" ht="12">
      <c r="Y722" s="25"/>
      <c r="AE722" s="25"/>
      <c r="AG722" s="25"/>
    </row>
    <row r="723" spans="25:33" ht="12">
      <c r="Y723" s="25"/>
      <c r="AE723" s="25"/>
      <c r="AG723" s="25"/>
    </row>
    <row r="724" spans="25:33" ht="12">
      <c r="Y724" s="25"/>
      <c r="AE724" s="25"/>
      <c r="AG724" s="25"/>
    </row>
    <row r="725" spans="25:33" ht="12">
      <c r="Y725" s="25"/>
      <c r="AE725" s="25"/>
      <c r="AG725" s="25"/>
    </row>
    <row r="726" spans="25:33" ht="12">
      <c r="Y726" s="25"/>
      <c r="AE726" s="25"/>
      <c r="AG726" s="25"/>
    </row>
    <row r="727" spans="25:33" ht="12">
      <c r="Y727" s="25"/>
      <c r="AE727" s="25"/>
      <c r="AG727" s="25"/>
    </row>
    <row r="728" spans="25:33" ht="12">
      <c r="Y728" s="25"/>
      <c r="AE728" s="25"/>
      <c r="AG728" s="25"/>
    </row>
    <row r="729" spans="25:33" ht="12">
      <c r="Y729" s="25"/>
      <c r="AE729" s="25"/>
      <c r="AG729" s="25"/>
    </row>
    <row r="730" spans="25:33" ht="12">
      <c r="Y730" s="25"/>
      <c r="AE730" s="25"/>
      <c r="AG730" s="25"/>
    </row>
    <row r="731" spans="25:33" ht="12">
      <c r="Y731" s="25"/>
      <c r="AE731" s="25"/>
      <c r="AG731" s="25"/>
    </row>
    <row r="732" spans="25:33" ht="12">
      <c r="Y732" s="25"/>
      <c r="AE732" s="25"/>
      <c r="AG732" s="25"/>
    </row>
    <row r="733" spans="25:33" ht="12">
      <c r="Y733" s="25"/>
      <c r="AE733" s="25"/>
      <c r="AG733" s="25"/>
    </row>
    <row r="734" spans="25:33" ht="12">
      <c r="Y734" s="25"/>
      <c r="AE734" s="25"/>
      <c r="AG734" s="25"/>
    </row>
    <row r="735" spans="25:33" ht="12">
      <c r="Y735" s="25"/>
      <c r="AE735" s="25"/>
      <c r="AG735" s="25"/>
    </row>
    <row r="736" spans="25:33" ht="12">
      <c r="Y736" s="25"/>
      <c r="AE736" s="25"/>
      <c r="AG736" s="25"/>
    </row>
    <row r="737" spans="25:33" ht="12">
      <c r="Y737" s="25"/>
      <c r="AE737" s="25"/>
      <c r="AG737" s="25"/>
    </row>
    <row r="738" spans="25:33" ht="12">
      <c r="Y738" s="25"/>
      <c r="AE738" s="25"/>
      <c r="AG738" s="25"/>
    </row>
    <row r="739" spans="25:33" ht="12">
      <c r="Y739" s="25"/>
      <c r="AE739" s="25"/>
      <c r="AG739" s="25"/>
    </row>
    <row r="740" spans="25:33" ht="12">
      <c r="Y740" s="25"/>
      <c r="AE740" s="25"/>
      <c r="AG740" s="25"/>
    </row>
    <row r="741" spans="25:33" ht="12">
      <c r="Y741" s="25"/>
      <c r="AE741" s="25"/>
      <c r="AG741" s="25"/>
    </row>
    <row r="742" spans="25:33" ht="12">
      <c r="Y742" s="25"/>
      <c r="AE742" s="25"/>
      <c r="AG742" s="25"/>
    </row>
    <row r="743" spans="25:33" ht="12">
      <c r="Y743" s="25"/>
      <c r="AE743" s="25"/>
      <c r="AG743" s="25"/>
    </row>
    <row r="744" spans="25:33" ht="12">
      <c r="Y744" s="25"/>
      <c r="AE744" s="25"/>
      <c r="AG744" s="25"/>
    </row>
    <row r="745" spans="25:33" ht="12">
      <c r="Y745" s="25"/>
      <c r="AE745" s="25"/>
      <c r="AG745" s="25"/>
    </row>
    <row r="746" spans="25:33" ht="12">
      <c r="Y746" s="25"/>
      <c r="AE746" s="25"/>
      <c r="AG746" s="25"/>
    </row>
    <row r="747" spans="25:33" ht="12">
      <c r="Y747" s="25"/>
      <c r="AE747" s="25"/>
      <c r="AG747" s="25"/>
    </row>
    <row r="748" spans="25:33" ht="12">
      <c r="Y748" s="25"/>
      <c r="AE748" s="25"/>
      <c r="AG748" s="25"/>
    </row>
    <row r="749" spans="25:33" ht="12">
      <c r="Y749" s="25"/>
      <c r="AE749" s="25"/>
      <c r="AG749" s="25"/>
    </row>
    <row r="750" spans="25:33" ht="12">
      <c r="Y750" s="25"/>
      <c r="AE750" s="25"/>
      <c r="AG750" s="25"/>
    </row>
    <row r="751" spans="25:33" ht="12">
      <c r="Y751" s="25"/>
      <c r="AE751" s="25"/>
      <c r="AG751" s="25"/>
    </row>
    <row r="752" spans="25:33" ht="12">
      <c r="Y752" s="25"/>
      <c r="AE752" s="25"/>
      <c r="AG752" s="25"/>
    </row>
    <row r="753" spans="25:33" ht="12">
      <c r="Y753" s="25"/>
      <c r="AE753" s="25"/>
      <c r="AG753" s="25"/>
    </row>
    <row r="754" spans="25:33" ht="12">
      <c r="Y754" s="25"/>
      <c r="AE754" s="25"/>
      <c r="AG754" s="25"/>
    </row>
    <row r="755" spans="25:33" ht="12">
      <c r="Y755" s="25"/>
      <c r="AE755" s="25"/>
      <c r="AG755" s="25"/>
    </row>
    <row r="756" spans="25:33" ht="12">
      <c r="Y756" s="25"/>
      <c r="AE756" s="25"/>
      <c r="AG756" s="25"/>
    </row>
    <row r="757" spans="25:33" ht="12">
      <c r="Y757" s="25"/>
      <c r="AE757" s="25"/>
      <c r="AG757" s="25"/>
    </row>
    <row r="758" spans="25:33" ht="12">
      <c r="Y758" s="25"/>
      <c r="AE758" s="25"/>
      <c r="AG758" s="25"/>
    </row>
    <row r="759" spans="25:33" ht="12">
      <c r="Y759" s="25"/>
      <c r="AE759" s="25"/>
      <c r="AG759" s="25"/>
    </row>
    <row r="760" spans="25:33" ht="12">
      <c r="Y760" s="25"/>
      <c r="AE760" s="25"/>
      <c r="AG760" s="25"/>
    </row>
    <row r="761" spans="25:33" ht="12">
      <c r="Y761" s="25"/>
      <c r="AE761" s="25"/>
      <c r="AG761" s="25"/>
    </row>
    <row r="762" spans="25:33" ht="12">
      <c r="Y762" s="25"/>
      <c r="AE762" s="25"/>
      <c r="AG762" s="25"/>
    </row>
    <row r="763" spans="25:33" ht="12">
      <c r="Y763" s="25"/>
      <c r="AE763" s="25"/>
      <c r="AG763" s="25"/>
    </row>
    <row r="764" spans="25:33" ht="12">
      <c r="Y764" s="25"/>
      <c r="AE764" s="25"/>
      <c r="AG764" s="25"/>
    </row>
    <row r="765" spans="25:33" ht="12">
      <c r="Y765" s="25"/>
      <c r="AE765" s="25"/>
      <c r="AG765" s="25"/>
    </row>
    <row r="766" spans="25:33" ht="12">
      <c r="Y766" s="25"/>
      <c r="AE766" s="25"/>
      <c r="AG766" s="25"/>
    </row>
    <row r="767" spans="25:33" ht="12">
      <c r="Y767" s="25"/>
      <c r="AE767" s="25"/>
      <c r="AG767" s="25"/>
    </row>
    <row r="768" spans="25:33" ht="12">
      <c r="Y768" s="25"/>
      <c r="AE768" s="25"/>
      <c r="AG768" s="25"/>
    </row>
    <row r="769" spans="25:33" ht="12">
      <c r="Y769" s="25"/>
      <c r="AE769" s="25"/>
      <c r="AG769" s="25"/>
    </row>
    <row r="770" spans="25:33" ht="12">
      <c r="Y770" s="25"/>
      <c r="AE770" s="25"/>
      <c r="AG770" s="25"/>
    </row>
    <row r="771" spans="25:33" ht="12">
      <c r="Y771" s="25"/>
      <c r="AE771" s="25"/>
      <c r="AG771" s="25"/>
    </row>
    <row r="772" spans="25:33" ht="12">
      <c r="Y772" s="25"/>
      <c r="AE772" s="25"/>
      <c r="AG772" s="25"/>
    </row>
    <row r="773" spans="25:33" ht="12">
      <c r="Y773" s="25"/>
      <c r="AE773" s="25"/>
      <c r="AG773" s="25"/>
    </row>
    <row r="774" spans="25:33" ht="12">
      <c r="Y774" s="25"/>
      <c r="AE774" s="25"/>
      <c r="AG774" s="25"/>
    </row>
    <row r="775" spans="25:33" ht="12">
      <c r="Y775" s="25"/>
      <c r="AE775" s="25"/>
      <c r="AG775" s="25"/>
    </row>
    <row r="776" spans="25:33" ht="12">
      <c r="Y776" s="25"/>
      <c r="AE776" s="25"/>
      <c r="AG776" s="25"/>
    </row>
    <row r="777" spans="25:33" ht="12">
      <c r="Y777" s="25"/>
      <c r="AE777" s="25"/>
      <c r="AG777" s="25"/>
    </row>
    <row r="778" spans="25:33" ht="12">
      <c r="Y778" s="25"/>
      <c r="AE778" s="25"/>
      <c r="AG778" s="25"/>
    </row>
    <row r="779" spans="25:33" ht="12">
      <c r="Y779" s="25"/>
      <c r="AE779" s="25"/>
      <c r="AG779" s="25"/>
    </row>
    <row r="780" spans="25:33" ht="12">
      <c r="Y780" s="25"/>
      <c r="AE780" s="25"/>
      <c r="AG780" s="25"/>
    </row>
    <row r="781" spans="25:33" ht="12">
      <c r="Y781" s="25"/>
      <c r="AE781" s="25"/>
      <c r="AG781" s="25"/>
    </row>
    <row r="782" spans="25:33" ht="12">
      <c r="Y782" s="25"/>
      <c r="AE782" s="25"/>
      <c r="AG782" s="25"/>
    </row>
    <row r="783" spans="25:33" ht="12">
      <c r="Y783" s="25"/>
      <c r="AE783" s="25"/>
      <c r="AG783" s="25"/>
    </row>
    <row r="784" spans="25:33" ht="12">
      <c r="Y784" s="25"/>
      <c r="AE784" s="25"/>
      <c r="AG784" s="25"/>
    </row>
    <row r="785" spans="25:33" ht="12">
      <c r="Y785" s="25"/>
      <c r="AE785" s="25"/>
      <c r="AG785" s="25"/>
    </row>
    <row r="786" spans="25:33" ht="12">
      <c r="Y786" s="25"/>
      <c r="AE786" s="25"/>
      <c r="AG786" s="25"/>
    </row>
    <row r="787" spans="25:33" ht="12">
      <c r="Y787" s="25"/>
      <c r="AE787" s="25"/>
      <c r="AG787" s="25"/>
    </row>
    <row r="788" spans="25:33" ht="12">
      <c r="Y788" s="25"/>
      <c r="AE788" s="25"/>
      <c r="AG788" s="25"/>
    </row>
    <row r="789" spans="25:33" ht="12">
      <c r="Y789" s="25"/>
      <c r="AE789" s="25"/>
      <c r="AG789" s="25"/>
    </row>
    <row r="790" spans="25:33" ht="12">
      <c r="Y790" s="25"/>
      <c r="AE790" s="25"/>
      <c r="AG790" s="25"/>
    </row>
    <row r="791" spans="25:33" ht="12">
      <c r="Y791" s="25"/>
      <c r="AE791" s="25"/>
      <c r="AG791" s="25"/>
    </row>
    <row r="792" spans="25:33" ht="12">
      <c r="Y792" s="25"/>
      <c r="AE792" s="25"/>
      <c r="AG792" s="25"/>
    </row>
    <row r="793" spans="25:33" ht="12">
      <c r="Y793" s="25"/>
      <c r="AE793" s="25"/>
      <c r="AG793" s="25"/>
    </row>
    <row r="794" spans="25:33" ht="12">
      <c r="Y794" s="25"/>
      <c r="AE794" s="25"/>
      <c r="AG794" s="25"/>
    </row>
    <row r="795" spans="25:33" ht="12">
      <c r="Y795" s="25"/>
      <c r="AE795" s="25"/>
      <c r="AG795" s="25"/>
    </row>
    <row r="796" spans="25:33" ht="12">
      <c r="Y796" s="25"/>
      <c r="AE796" s="25"/>
      <c r="AG796" s="25"/>
    </row>
    <row r="797" spans="25:33" ht="12">
      <c r="Y797" s="25"/>
      <c r="AE797" s="25"/>
      <c r="AG797" s="25"/>
    </row>
    <row r="798" spans="25:33" ht="12">
      <c r="Y798" s="25"/>
      <c r="AE798" s="25"/>
      <c r="AG798" s="25"/>
    </row>
    <row r="799" spans="25:33" ht="12">
      <c r="Y799" s="25"/>
      <c r="AE799" s="25"/>
      <c r="AG799" s="25"/>
    </row>
    <row r="800" spans="25:33" ht="12">
      <c r="Y800" s="25"/>
      <c r="AE800" s="25"/>
      <c r="AG800" s="25"/>
    </row>
    <row r="801" spans="25:33" ht="12">
      <c r="Y801" s="25"/>
      <c r="AE801" s="25"/>
      <c r="AG801" s="25"/>
    </row>
    <row r="802" spans="25:33" ht="12">
      <c r="Y802" s="25"/>
      <c r="AE802" s="25"/>
      <c r="AG802" s="25"/>
    </row>
    <row r="803" spans="25:33" ht="12">
      <c r="Y803" s="25"/>
      <c r="AE803" s="25"/>
      <c r="AG803" s="25"/>
    </row>
    <row r="804" spans="25:33" ht="12">
      <c r="Y804" s="25"/>
      <c r="AE804" s="25"/>
      <c r="AG804" s="25"/>
    </row>
    <row r="805" spans="25:33" ht="12">
      <c r="Y805" s="25"/>
      <c r="AE805" s="25"/>
      <c r="AG805" s="25"/>
    </row>
    <row r="806" spans="25:33" ht="12">
      <c r="Y806" s="25"/>
      <c r="AE806" s="25"/>
      <c r="AG806" s="25"/>
    </row>
    <row r="807" spans="25:33" ht="12">
      <c r="Y807" s="25"/>
      <c r="AE807" s="25"/>
      <c r="AG807" s="25"/>
    </row>
    <row r="808" spans="25:33" ht="12">
      <c r="Y808" s="25"/>
      <c r="AE808" s="25"/>
      <c r="AG808" s="25"/>
    </row>
    <row r="809" spans="25:33" ht="12">
      <c r="Y809" s="25"/>
      <c r="AE809" s="25"/>
      <c r="AG809" s="25"/>
    </row>
    <row r="810" spans="25:33" ht="12">
      <c r="Y810" s="25"/>
      <c r="AE810" s="25"/>
      <c r="AG810" s="25"/>
    </row>
    <row r="811" spans="25:33" ht="12">
      <c r="Y811" s="25"/>
      <c r="AE811" s="25"/>
      <c r="AG811" s="25"/>
    </row>
    <row r="812" spans="25:33" ht="12">
      <c r="Y812" s="25"/>
      <c r="AE812" s="25"/>
      <c r="AG812" s="25"/>
    </row>
    <row r="813" spans="25:33" ht="12">
      <c r="Y813" s="25"/>
      <c r="AE813" s="25"/>
      <c r="AG813" s="25"/>
    </row>
    <row r="814" spans="25:33" ht="12">
      <c r="Y814" s="25"/>
      <c r="AE814" s="25"/>
      <c r="AG814" s="25"/>
    </row>
    <row r="815" spans="25:33" ht="12">
      <c r="Y815" s="25"/>
      <c r="AE815" s="25"/>
      <c r="AG815" s="25"/>
    </row>
    <row r="816" spans="25:33" ht="12">
      <c r="Y816" s="25"/>
      <c r="AE816" s="25"/>
      <c r="AG816" s="25"/>
    </row>
    <row r="817" spans="25:33" ht="12">
      <c r="Y817" s="25"/>
      <c r="AE817" s="25"/>
      <c r="AG817" s="25"/>
    </row>
    <row r="818" spans="25:33" ht="12">
      <c r="Y818" s="25"/>
      <c r="AE818" s="25"/>
      <c r="AG818" s="25"/>
    </row>
    <row r="819" spans="25:33" ht="12">
      <c r="Y819" s="25"/>
      <c r="AE819" s="25"/>
      <c r="AG819" s="25"/>
    </row>
    <row r="820" spans="25:33" ht="12">
      <c r="Y820" s="25"/>
      <c r="AE820" s="25"/>
      <c r="AG820" s="25"/>
    </row>
    <row r="821" spans="25:33" ht="12">
      <c r="Y821" s="25"/>
      <c r="AE821" s="25"/>
      <c r="AG821" s="25"/>
    </row>
    <row r="822" spans="25:33" ht="12">
      <c r="Y822" s="25"/>
      <c r="AE822" s="25"/>
      <c r="AG822" s="25"/>
    </row>
    <row r="823" spans="25:33" ht="12">
      <c r="Y823" s="25"/>
      <c r="AE823" s="25"/>
      <c r="AG823" s="25"/>
    </row>
    <row r="824" spans="25:33" ht="12">
      <c r="Y824" s="25"/>
      <c r="AE824" s="25"/>
      <c r="AG824" s="25"/>
    </row>
    <row r="825" spans="25:33" ht="12">
      <c r="Y825" s="25"/>
      <c r="AE825" s="25"/>
      <c r="AG825" s="25"/>
    </row>
    <row r="826" spans="25:33" ht="12">
      <c r="Y826" s="25"/>
      <c r="AE826" s="25"/>
      <c r="AG826" s="25"/>
    </row>
    <row r="827" spans="25:33" ht="12">
      <c r="Y827" s="25"/>
      <c r="AE827" s="25"/>
      <c r="AG827" s="25"/>
    </row>
    <row r="828" spans="25:33" ht="12">
      <c r="Y828" s="25"/>
      <c r="AE828" s="25"/>
      <c r="AG828" s="25"/>
    </row>
    <row r="829" spans="25:33" ht="12">
      <c r="Y829" s="25"/>
      <c r="AE829" s="25"/>
      <c r="AG829" s="25"/>
    </row>
    <row r="830" spans="25:33" ht="12">
      <c r="Y830" s="25"/>
      <c r="AE830" s="25"/>
      <c r="AG830" s="25"/>
    </row>
    <row r="831" spans="25:33" ht="12">
      <c r="Y831" s="25"/>
      <c r="AE831" s="25"/>
      <c r="AG831" s="25"/>
    </row>
    <row r="832" spans="25:33" ht="12">
      <c r="Y832" s="25"/>
      <c r="AE832" s="25"/>
      <c r="AG832" s="25"/>
    </row>
    <row r="833" spans="25:33" ht="12">
      <c r="Y833" s="25"/>
      <c r="AE833" s="25"/>
      <c r="AG833" s="25"/>
    </row>
    <row r="834" spans="25:33" ht="12">
      <c r="Y834" s="25"/>
      <c r="AE834" s="25"/>
      <c r="AG834" s="25"/>
    </row>
    <row r="835" spans="25:33" ht="12">
      <c r="Y835" s="25"/>
      <c r="AE835" s="25"/>
      <c r="AG835" s="25"/>
    </row>
    <row r="836" spans="25:33" ht="12">
      <c r="Y836" s="25"/>
      <c r="AE836" s="25"/>
      <c r="AG836" s="25"/>
    </row>
    <row r="837" spans="25:33" ht="12">
      <c r="Y837" s="25"/>
      <c r="AE837" s="25"/>
      <c r="AG837" s="25"/>
    </row>
    <row r="838" spans="25:33" ht="12">
      <c r="Y838" s="25"/>
      <c r="AE838" s="25"/>
      <c r="AG838" s="25"/>
    </row>
    <row r="839" spans="25:33" ht="12">
      <c r="Y839" s="25"/>
      <c r="AE839" s="25"/>
      <c r="AG839" s="25"/>
    </row>
    <row r="840" spans="25:33" ht="12">
      <c r="Y840" s="25"/>
      <c r="AE840" s="25"/>
      <c r="AG840" s="25"/>
    </row>
    <row r="841" spans="25:33" ht="12">
      <c r="Y841" s="25"/>
      <c r="AE841" s="25"/>
      <c r="AG841" s="25"/>
    </row>
    <row r="842" spans="25:33" ht="12">
      <c r="Y842" s="25"/>
      <c r="AE842" s="25"/>
      <c r="AG842" s="25"/>
    </row>
    <row r="843" spans="25:33" ht="12">
      <c r="Y843" s="25"/>
      <c r="AE843" s="25"/>
      <c r="AG843" s="25"/>
    </row>
    <row r="844" spans="25:33" ht="12">
      <c r="Y844" s="25"/>
      <c r="AE844" s="25"/>
      <c r="AG844" s="25"/>
    </row>
    <row r="845" spans="25:33" ht="12">
      <c r="Y845" s="25"/>
      <c r="AE845" s="25"/>
      <c r="AG845" s="25"/>
    </row>
    <row r="846" spans="25:33" ht="12">
      <c r="Y846" s="25"/>
      <c r="AE846" s="25"/>
      <c r="AG846" s="25"/>
    </row>
    <row r="847" spans="25:33" ht="12">
      <c r="Y847" s="25"/>
      <c r="AE847" s="25"/>
      <c r="AG847" s="25"/>
    </row>
    <row r="848" spans="25:33" ht="12">
      <c r="Y848" s="25"/>
      <c r="AE848" s="25"/>
      <c r="AG848" s="25"/>
    </row>
    <row r="849" spans="25:33" ht="12">
      <c r="Y849" s="25"/>
      <c r="AE849" s="25"/>
      <c r="AG849" s="25"/>
    </row>
    <row r="850" spans="25:33" ht="12">
      <c r="Y850" s="25"/>
      <c r="AE850" s="25"/>
      <c r="AG850" s="25"/>
    </row>
    <row r="851" spans="25:33" ht="12">
      <c r="Y851" s="25"/>
      <c r="AE851" s="25"/>
      <c r="AG851" s="25"/>
    </row>
    <row r="852" spans="25:33" ht="12">
      <c r="Y852" s="25"/>
      <c r="AE852" s="25"/>
      <c r="AG852" s="25"/>
    </row>
    <row r="853" spans="25:33" ht="12">
      <c r="Y853" s="25"/>
      <c r="AE853" s="25"/>
      <c r="AG853" s="25"/>
    </row>
    <row r="854" spans="25:33" ht="12">
      <c r="Y854" s="25"/>
      <c r="AE854" s="25"/>
      <c r="AG854" s="25"/>
    </row>
    <row r="855" spans="25:33" ht="12">
      <c r="Y855" s="25"/>
      <c r="AE855" s="25"/>
      <c r="AG855" s="25"/>
    </row>
    <row r="856" spans="25:33" ht="12">
      <c r="Y856" s="25"/>
      <c r="AE856" s="25"/>
      <c r="AG856" s="25"/>
    </row>
    <row r="857" spans="25:33" ht="12">
      <c r="Y857" s="25"/>
      <c r="AE857" s="25"/>
      <c r="AG857" s="25"/>
    </row>
    <row r="858" spans="25:33" ht="12">
      <c r="Y858" s="25"/>
      <c r="AE858" s="25"/>
      <c r="AG858" s="25"/>
    </row>
    <row r="859" spans="25:33" ht="12">
      <c r="Y859" s="25"/>
      <c r="AE859" s="25"/>
      <c r="AG859" s="25"/>
    </row>
    <row r="860" spans="25:33" ht="12">
      <c r="Y860" s="25"/>
      <c r="AE860" s="25"/>
      <c r="AG860" s="25"/>
    </row>
    <row r="861" spans="25:33" ht="12">
      <c r="Y861" s="25"/>
      <c r="AE861" s="25"/>
      <c r="AG861" s="25"/>
    </row>
    <row r="862" spans="25:33" ht="12">
      <c r="Y862" s="25"/>
      <c r="AE862" s="25"/>
      <c r="AG862" s="25"/>
    </row>
    <row r="863" spans="25:33" ht="12">
      <c r="Y863" s="25"/>
      <c r="AE863" s="25"/>
      <c r="AG863" s="25"/>
    </row>
    <row r="864" spans="25:33" ht="12">
      <c r="Y864" s="25"/>
      <c r="AE864" s="25"/>
      <c r="AG864" s="25"/>
    </row>
    <row r="865" spans="25:33" ht="12">
      <c r="Y865" s="25"/>
      <c r="AE865" s="25"/>
      <c r="AG865" s="25"/>
    </row>
    <row r="866" spans="25:33" ht="12">
      <c r="Y866" s="25"/>
      <c r="AE866" s="25"/>
      <c r="AG866" s="25"/>
    </row>
    <row r="867" spans="25:33" ht="12">
      <c r="Y867" s="25"/>
      <c r="AE867" s="25"/>
      <c r="AG867" s="25"/>
    </row>
    <row r="868" spans="25:33" ht="12">
      <c r="Y868" s="25"/>
      <c r="AE868" s="25"/>
      <c r="AG868" s="25"/>
    </row>
    <row r="869" spans="25:33" ht="12">
      <c r="Y869" s="25"/>
      <c r="AE869" s="25"/>
      <c r="AG869" s="25"/>
    </row>
    <row r="870" spans="25:33" ht="12">
      <c r="Y870" s="25"/>
      <c r="AE870" s="25"/>
      <c r="AG870" s="25"/>
    </row>
    <row r="871" spans="25:33" ht="12">
      <c r="Y871" s="25"/>
      <c r="AE871" s="25"/>
      <c r="AG871" s="25"/>
    </row>
    <row r="872" spans="25:33" ht="12">
      <c r="Y872" s="25"/>
      <c r="AE872" s="25"/>
      <c r="AG872" s="25"/>
    </row>
    <row r="873" spans="25:33" ht="12">
      <c r="Y873" s="25"/>
      <c r="AE873" s="25"/>
      <c r="AG873" s="25"/>
    </row>
    <row r="874" spans="25:33" ht="12">
      <c r="Y874" s="25"/>
      <c r="AE874" s="25"/>
      <c r="AG874" s="25"/>
    </row>
    <row r="875" spans="25:33" ht="12">
      <c r="Y875" s="25"/>
      <c r="AE875" s="25"/>
      <c r="AG875" s="25"/>
    </row>
    <row r="876" spans="25:33" ht="12">
      <c r="Y876" s="25"/>
      <c r="AE876" s="25"/>
      <c r="AG876" s="25"/>
    </row>
    <row r="877" spans="25:33" ht="12">
      <c r="Y877" s="25"/>
      <c r="AE877" s="25"/>
      <c r="AG877" s="25"/>
    </row>
    <row r="878" spans="25:33" ht="12">
      <c r="Y878" s="25"/>
      <c r="AE878" s="25"/>
      <c r="AG878" s="25"/>
    </row>
    <row r="879" spans="25:33" ht="12">
      <c r="Y879" s="25"/>
      <c r="AE879" s="25"/>
      <c r="AG879" s="25"/>
    </row>
    <row r="880" spans="25:33" ht="12">
      <c r="Y880" s="25"/>
      <c r="AE880" s="25"/>
      <c r="AG880" s="25"/>
    </row>
    <row r="881" spans="25:33" ht="12">
      <c r="Y881" s="25"/>
      <c r="AE881" s="25"/>
      <c r="AG881" s="25"/>
    </row>
    <row r="882" spans="25:33" ht="12">
      <c r="Y882" s="25"/>
      <c r="AE882" s="25"/>
      <c r="AG882" s="25"/>
    </row>
    <row r="883" spans="25:33" ht="12">
      <c r="Y883" s="25"/>
      <c r="AE883" s="25"/>
      <c r="AG883" s="25"/>
    </row>
    <row r="884" spans="25:33" ht="12">
      <c r="Y884" s="25"/>
      <c r="AE884" s="25"/>
      <c r="AG884" s="25"/>
    </row>
    <row r="885" spans="25:33" ht="12">
      <c r="Y885" s="25"/>
      <c r="AE885" s="25"/>
      <c r="AG885" s="25"/>
    </row>
    <row r="886" spans="25:33" ht="12">
      <c r="Y886" s="25"/>
      <c r="AE886" s="25"/>
      <c r="AG886" s="25"/>
    </row>
    <row r="887" spans="25:33" ht="12">
      <c r="Y887" s="25"/>
      <c r="AE887" s="25"/>
      <c r="AG887" s="25"/>
    </row>
    <row r="888" spans="25:33" ht="12">
      <c r="Y888" s="25"/>
      <c r="AE888" s="25"/>
      <c r="AG888" s="25"/>
    </row>
    <row r="889" spans="25:33" ht="12">
      <c r="Y889" s="25"/>
      <c r="AE889" s="25"/>
      <c r="AG889" s="25"/>
    </row>
    <row r="890" spans="25:33" ht="12">
      <c r="Y890" s="25"/>
      <c r="AE890" s="25"/>
      <c r="AG890" s="25"/>
    </row>
    <row r="891" spans="25:33" ht="12">
      <c r="Y891" s="25"/>
      <c r="AE891" s="25"/>
      <c r="AG891" s="25"/>
    </row>
    <row r="892" spans="25:33" ht="12">
      <c r="Y892" s="25"/>
      <c r="AE892" s="25"/>
      <c r="AG892" s="25"/>
    </row>
    <row r="893" spans="25:33" ht="12">
      <c r="Y893" s="25"/>
      <c r="AE893" s="25"/>
      <c r="AG893" s="25"/>
    </row>
    <row r="894" spans="25:33" ht="12">
      <c r="Y894" s="25"/>
      <c r="AE894" s="25"/>
      <c r="AG894" s="25"/>
    </row>
    <row r="895" spans="25:33" ht="12">
      <c r="Y895" s="25"/>
      <c r="AE895" s="25"/>
      <c r="AG895" s="25"/>
    </row>
    <row r="896" spans="25:33" ht="12">
      <c r="Y896" s="25"/>
      <c r="AE896" s="25"/>
      <c r="AG896" s="25"/>
    </row>
    <row r="897" spans="25:33" ht="12">
      <c r="Y897" s="25"/>
      <c r="AE897" s="25"/>
      <c r="AG897" s="25"/>
    </row>
    <row r="898" spans="25:33" ht="12">
      <c r="Y898" s="25"/>
      <c r="AE898" s="25"/>
      <c r="AG898" s="25"/>
    </row>
    <row r="899" spans="25:33" ht="12">
      <c r="Y899" s="25"/>
      <c r="AE899" s="25"/>
      <c r="AG899" s="25"/>
    </row>
    <row r="900" spans="25:33" ht="12">
      <c r="Y900" s="25"/>
      <c r="AE900" s="25"/>
      <c r="AG900" s="25"/>
    </row>
    <row r="901" spans="25:33" ht="12">
      <c r="Y901" s="25"/>
      <c r="AE901" s="25"/>
      <c r="AG901" s="25"/>
    </row>
    <row r="902" spans="25:33" ht="12">
      <c r="Y902" s="25"/>
      <c r="AE902" s="25"/>
      <c r="AG902" s="25"/>
    </row>
    <row r="903" spans="25:33" ht="12">
      <c r="Y903" s="25"/>
      <c r="AE903" s="25"/>
      <c r="AG903" s="25"/>
    </row>
    <row r="904" spans="25:33" ht="12">
      <c r="Y904" s="25"/>
      <c r="AE904" s="25"/>
      <c r="AG904" s="25"/>
    </row>
    <row r="905" spans="25:33" ht="12">
      <c r="Y905" s="25"/>
      <c r="AE905" s="25"/>
      <c r="AG905" s="25"/>
    </row>
    <row r="906" spans="25:33" ht="12">
      <c r="Y906" s="25"/>
      <c r="AE906" s="25"/>
      <c r="AG906" s="25"/>
    </row>
    <row r="907" spans="25:33" ht="12">
      <c r="Y907" s="25"/>
      <c r="AE907" s="25"/>
      <c r="AG907" s="25"/>
    </row>
    <row r="908" spans="25:33" ht="12">
      <c r="Y908" s="25"/>
      <c r="AE908" s="25"/>
      <c r="AG908" s="25"/>
    </row>
    <row r="909" spans="25:33" ht="12">
      <c r="Y909" s="25"/>
      <c r="AE909" s="25"/>
      <c r="AG909" s="25"/>
    </row>
    <row r="910" spans="25:33" ht="12">
      <c r="Y910" s="25"/>
      <c r="AE910" s="25"/>
      <c r="AG910" s="25"/>
    </row>
    <row r="911" spans="25:33" ht="12">
      <c r="Y911" s="25"/>
      <c r="AE911" s="25"/>
      <c r="AG911" s="25"/>
    </row>
    <row r="912" spans="25:33" ht="12">
      <c r="Y912" s="25"/>
      <c r="AE912" s="25"/>
      <c r="AG912" s="25"/>
    </row>
    <row r="913" spans="25:33" ht="12">
      <c r="Y913" s="25"/>
      <c r="AE913" s="25"/>
      <c r="AG913" s="25"/>
    </row>
    <row r="914" spans="25:33" ht="12">
      <c r="Y914" s="25"/>
      <c r="AE914" s="25"/>
      <c r="AG914" s="25"/>
    </row>
    <row r="915" spans="25:33" ht="12">
      <c r="Y915" s="25"/>
      <c r="AE915" s="25"/>
      <c r="AG915" s="25"/>
    </row>
    <row r="916" spans="25:33" ht="12">
      <c r="Y916" s="25"/>
      <c r="AE916" s="25"/>
      <c r="AG916" s="25"/>
    </row>
    <row r="917" spans="25:33" ht="12">
      <c r="Y917" s="25"/>
      <c r="AE917" s="25"/>
      <c r="AG917" s="25"/>
    </row>
    <row r="918" spans="25:33" ht="12">
      <c r="Y918" s="25"/>
      <c r="AE918" s="25"/>
      <c r="AG918" s="25"/>
    </row>
    <row r="919" spans="25:33" ht="12">
      <c r="Y919" s="25"/>
      <c r="AE919" s="25"/>
      <c r="AG919" s="25"/>
    </row>
    <row r="920" spans="25:33" ht="12">
      <c r="Y920" s="25"/>
      <c r="AE920" s="25"/>
      <c r="AG920" s="25"/>
    </row>
    <row r="921" spans="25:33" ht="12">
      <c r="Y921" s="25"/>
      <c r="AE921" s="25"/>
      <c r="AG921" s="25"/>
    </row>
    <row r="922" spans="25:33" ht="12">
      <c r="Y922" s="25"/>
      <c r="AE922" s="25"/>
      <c r="AG922" s="25"/>
    </row>
    <row r="923" spans="25:33" ht="12">
      <c r="Y923" s="25"/>
      <c r="AE923" s="25"/>
      <c r="AG923" s="25"/>
    </row>
    <row r="924" spans="25:33" ht="12">
      <c r="Y924" s="25"/>
      <c r="AE924" s="25"/>
      <c r="AG924" s="25"/>
    </row>
    <row r="925" spans="25:33" ht="12">
      <c r="Y925" s="25"/>
      <c r="AE925" s="25"/>
      <c r="AG925" s="25"/>
    </row>
    <row r="926" spans="25:33" ht="12">
      <c r="Y926" s="25"/>
      <c r="AE926" s="25"/>
      <c r="AG926" s="25"/>
    </row>
    <row r="927" spans="25:33" ht="12">
      <c r="Y927" s="25"/>
      <c r="AE927" s="25"/>
      <c r="AG927" s="25"/>
    </row>
    <row r="928" spans="25:33" ht="12">
      <c r="Y928" s="25"/>
      <c r="AE928" s="25"/>
      <c r="AG928" s="25"/>
    </row>
    <row r="929" spans="25:33" ht="12">
      <c r="Y929" s="25"/>
      <c r="AE929" s="25"/>
      <c r="AG929" s="25"/>
    </row>
    <row r="930" spans="25:33" ht="12">
      <c r="Y930" s="25"/>
      <c r="AE930" s="25"/>
      <c r="AG930" s="25"/>
    </row>
    <row r="931" spans="25:33" ht="12">
      <c r="Y931" s="25"/>
      <c r="AE931" s="25"/>
      <c r="AG931" s="25"/>
    </row>
    <row r="932" spans="25:33" ht="12">
      <c r="Y932" s="25"/>
      <c r="AE932" s="25"/>
      <c r="AG932" s="25"/>
    </row>
    <row r="933" spans="25:33" ht="12">
      <c r="Y933" s="25"/>
      <c r="AE933" s="25"/>
      <c r="AG933" s="25"/>
    </row>
    <row r="934" spans="25:33" ht="12">
      <c r="Y934" s="25"/>
      <c r="AE934" s="25"/>
      <c r="AG934" s="25"/>
    </row>
    <row r="935" spans="25:33" ht="12">
      <c r="Y935" s="25"/>
      <c r="AE935" s="25"/>
      <c r="AG935" s="25"/>
    </row>
    <row r="936" spans="25:33" ht="12">
      <c r="Y936" s="25"/>
      <c r="AE936" s="25"/>
      <c r="AG936" s="25"/>
    </row>
    <row r="937" spans="25:33" ht="12">
      <c r="Y937" s="25"/>
      <c r="AE937" s="25"/>
      <c r="AG937" s="25"/>
    </row>
    <row r="938" spans="25:33" ht="12">
      <c r="Y938" s="25"/>
      <c r="AE938" s="25"/>
      <c r="AG938" s="25"/>
    </row>
    <row r="939" spans="25:33" ht="12">
      <c r="Y939" s="25"/>
      <c r="AE939" s="25"/>
      <c r="AG939" s="25"/>
    </row>
    <row r="940" spans="25:33" ht="12">
      <c r="Y940" s="25"/>
      <c r="AE940" s="25"/>
      <c r="AG940" s="25"/>
    </row>
    <row r="941" spans="25:33" ht="12">
      <c r="Y941" s="25"/>
      <c r="AE941" s="25"/>
      <c r="AG941" s="25"/>
    </row>
    <row r="942" spans="25:33" ht="12">
      <c r="Y942" s="25"/>
      <c r="AE942" s="25"/>
      <c r="AG942" s="25"/>
    </row>
    <row r="943" spans="25:33" ht="12">
      <c r="Y943" s="25"/>
      <c r="AE943" s="25"/>
      <c r="AG943" s="25"/>
    </row>
    <row r="944" spans="25:33" ht="12">
      <c r="Y944" s="25"/>
      <c r="AE944" s="25"/>
      <c r="AG944" s="25"/>
    </row>
    <row r="945" spans="25:33" ht="12">
      <c r="Y945" s="25"/>
      <c r="AE945" s="25"/>
      <c r="AG945" s="25"/>
    </row>
    <row r="946" spans="25:33" ht="12">
      <c r="Y946" s="25"/>
      <c r="AE946" s="25"/>
      <c r="AG946" s="25"/>
    </row>
    <row r="947" spans="25:33" ht="12">
      <c r="Y947" s="25"/>
      <c r="AE947" s="25"/>
      <c r="AG947" s="25"/>
    </row>
    <row r="948" spans="25:33" ht="12">
      <c r="Y948" s="25"/>
      <c r="AE948" s="25"/>
      <c r="AG948" s="25"/>
    </row>
    <row r="949" spans="25:33" ht="12">
      <c r="Y949" s="25"/>
      <c r="AE949" s="25"/>
      <c r="AG949" s="25"/>
    </row>
    <row r="950" spans="25:33" ht="12">
      <c r="Y950" s="25"/>
      <c r="AE950" s="25"/>
      <c r="AG950" s="25"/>
    </row>
    <row r="951" spans="25:33" ht="12">
      <c r="Y951" s="25"/>
      <c r="AE951" s="25"/>
      <c r="AG951" s="25"/>
    </row>
    <row r="952" spans="25:33" ht="12">
      <c r="Y952" s="25"/>
      <c r="AE952" s="25"/>
      <c r="AG952" s="25"/>
    </row>
    <row r="953" spans="25:33" ht="12">
      <c r="Y953" s="25"/>
      <c r="AE953" s="25"/>
      <c r="AG953" s="25"/>
    </row>
    <row r="954" spans="25:33" ht="12">
      <c r="Y954" s="25"/>
      <c r="AE954" s="25"/>
      <c r="AG954" s="25"/>
    </row>
    <row r="955" spans="25:33" ht="12">
      <c r="Y955" s="25"/>
      <c r="AE955" s="25"/>
      <c r="AG955" s="25"/>
    </row>
    <row r="956" spans="25:33" ht="12">
      <c r="Y956" s="25"/>
      <c r="AE956" s="25"/>
      <c r="AG956" s="25"/>
    </row>
    <row r="957" spans="25:33" ht="12">
      <c r="Y957" s="25"/>
      <c r="AE957" s="25"/>
      <c r="AG957" s="25"/>
    </row>
    <row r="958" spans="25:33" ht="12">
      <c r="Y958" s="25"/>
      <c r="AE958" s="25"/>
      <c r="AG958" s="25"/>
    </row>
    <row r="959" spans="25:33" ht="12">
      <c r="Y959" s="25"/>
      <c r="AE959" s="25"/>
      <c r="AG959" s="25"/>
    </row>
    <row r="960" spans="25:33" ht="12">
      <c r="Y960" s="25"/>
      <c r="AE960" s="25"/>
      <c r="AG960" s="25"/>
    </row>
    <row r="961" spans="25:33" ht="12">
      <c r="Y961" s="25"/>
      <c r="AE961" s="25"/>
      <c r="AG961" s="25"/>
    </row>
    <row r="962" spans="25:33" ht="12">
      <c r="Y962" s="25"/>
      <c r="AE962" s="25"/>
      <c r="AG962" s="25"/>
    </row>
    <row r="963" spans="25:33" ht="12">
      <c r="Y963" s="25"/>
      <c r="AE963" s="25"/>
      <c r="AG963" s="25"/>
    </row>
    <row r="964" spans="25:33" ht="12">
      <c r="Y964" s="25"/>
      <c r="AE964" s="25"/>
      <c r="AG964" s="25"/>
    </row>
    <row r="965" spans="25:33" ht="12">
      <c r="Y965" s="25"/>
      <c r="AE965" s="25"/>
      <c r="AG965" s="25"/>
    </row>
    <row r="966" spans="25:33" ht="12">
      <c r="Y966" s="25"/>
      <c r="AE966" s="25"/>
      <c r="AG966" s="25"/>
    </row>
    <row r="967" spans="25:33" ht="12">
      <c r="Y967" s="25"/>
      <c r="AE967" s="25"/>
      <c r="AG967" s="25"/>
    </row>
    <row r="968" spans="25:33" ht="12">
      <c r="Y968" s="25"/>
      <c r="AE968" s="25"/>
      <c r="AG968" s="25"/>
    </row>
    <row r="969" spans="25:33" ht="12">
      <c r="Y969" s="25"/>
      <c r="AE969" s="25"/>
      <c r="AG969" s="25"/>
    </row>
    <row r="970" spans="25:33" ht="12">
      <c r="Y970" s="25"/>
      <c r="AE970" s="25"/>
      <c r="AG970" s="25"/>
    </row>
    <row r="971" spans="25:33" ht="12">
      <c r="Y971" s="25"/>
      <c r="AE971" s="25"/>
      <c r="AG971" s="25"/>
    </row>
    <row r="972" spans="25:33" ht="12">
      <c r="Y972" s="25"/>
      <c r="AE972" s="25"/>
      <c r="AG972" s="25"/>
    </row>
    <row r="973" spans="25:33" ht="12">
      <c r="Y973" s="25"/>
      <c r="AE973" s="25"/>
      <c r="AG973" s="25"/>
    </row>
    <row r="974" spans="25:33" ht="12">
      <c r="Y974" s="25"/>
      <c r="AE974" s="25"/>
      <c r="AG974" s="25"/>
    </row>
    <row r="975" spans="25:33" ht="12">
      <c r="Y975" s="25"/>
      <c r="AE975" s="25"/>
      <c r="AG975" s="25"/>
    </row>
    <row r="976" spans="25:33" ht="12">
      <c r="Y976" s="25"/>
      <c r="AE976" s="25"/>
      <c r="AG976" s="25"/>
    </row>
    <row r="977" spans="25:33" ht="12">
      <c r="Y977" s="25"/>
      <c r="AE977" s="25"/>
      <c r="AG977" s="25"/>
    </row>
    <row r="978" spans="25:33" ht="12">
      <c r="Y978" s="25"/>
      <c r="AE978" s="25"/>
      <c r="AG978" s="25"/>
    </row>
    <row r="979" spans="25:33" ht="12">
      <c r="Y979" s="25"/>
      <c r="AE979" s="25"/>
      <c r="AG979" s="25"/>
    </row>
    <row r="980" spans="25:33" ht="12">
      <c r="Y980" s="25"/>
      <c r="AE980" s="25"/>
      <c r="AG980" s="25"/>
    </row>
    <row r="981" spans="25:33" ht="12">
      <c r="Y981" s="25"/>
      <c r="AE981" s="25"/>
      <c r="AG981" s="25"/>
    </row>
    <row r="982" spans="25:33" ht="12">
      <c r="Y982" s="25"/>
      <c r="AE982" s="25"/>
      <c r="AG982" s="25"/>
    </row>
    <row r="983" spans="25:33" ht="12">
      <c r="Y983" s="25"/>
      <c r="AE983" s="25"/>
      <c r="AG983" s="25"/>
    </row>
    <row r="984" spans="25:33" ht="12">
      <c r="Y984" s="25"/>
      <c r="AE984" s="25"/>
      <c r="AG984" s="25"/>
    </row>
    <row r="985" spans="25:33" ht="12">
      <c r="Y985" s="25"/>
      <c r="AE985" s="25"/>
      <c r="AG985" s="25"/>
    </row>
    <row r="986" spans="25:33" ht="12">
      <c r="Y986" s="25"/>
      <c r="AE986" s="25"/>
      <c r="AG986" s="25"/>
    </row>
    <row r="987" spans="25:33" ht="12">
      <c r="Y987" s="25"/>
      <c r="AE987" s="25"/>
      <c r="AG987" s="25"/>
    </row>
    <row r="988" spans="25:33" ht="12">
      <c r="Y988" s="25"/>
      <c r="AE988" s="25"/>
      <c r="AG988" s="25"/>
    </row>
    <row r="989" spans="25:33" ht="12">
      <c r="Y989" s="25"/>
      <c r="AE989" s="25"/>
      <c r="AG989" s="25"/>
    </row>
    <row r="990" spans="25:33" ht="12">
      <c r="Y990" s="25"/>
      <c r="AE990" s="25"/>
      <c r="AG990" s="25"/>
    </row>
    <row r="991" spans="25:33" ht="12">
      <c r="Y991" s="25"/>
      <c r="AE991" s="25"/>
      <c r="AG991" s="25"/>
    </row>
    <row r="992" spans="25:33" ht="12">
      <c r="Y992" s="25"/>
      <c r="AE992" s="25"/>
      <c r="AG992" s="25"/>
    </row>
    <row r="993" spans="25:33" ht="12">
      <c r="Y993" s="25"/>
      <c r="AE993" s="25"/>
      <c r="AG993" s="25"/>
    </row>
    <row r="994" spans="25:33" ht="12">
      <c r="Y994" s="25"/>
      <c r="AE994" s="25"/>
      <c r="AG994" s="25"/>
    </row>
    <row r="995" spans="25:33" ht="12">
      <c r="Y995" s="25"/>
      <c r="AE995" s="25"/>
      <c r="AG995" s="25"/>
    </row>
    <row r="996" spans="25:33" ht="12">
      <c r="Y996" s="25"/>
      <c r="AE996" s="25"/>
      <c r="AG996" s="25"/>
    </row>
    <row r="997" spans="25:33" ht="12">
      <c r="Y997" s="25"/>
      <c r="AE997" s="25"/>
      <c r="AG997" s="25"/>
    </row>
    <row r="998" spans="25:33" ht="12">
      <c r="Y998" s="25"/>
      <c r="AE998" s="25"/>
      <c r="AG998" s="25"/>
    </row>
    <row r="999" spans="25:33" ht="12">
      <c r="Y999" s="25"/>
      <c r="AE999" s="25"/>
      <c r="AG999" s="25"/>
    </row>
    <row r="1000" spans="25:33" ht="12">
      <c r="Y1000" s="25"/>
      <c r="AE1000" s="25"/>
      <c r="AG1000" s="25"/>
    </row>
    <row r="1001" spans="25:33" ht="12">
      <c r="Y1001" s="25"/>
      <c r="AE1001" s="25"/>
      <c r="AG1001" s="25"/>
    </row>
    <row r="1002" spans="25:33" ht="12">
      <c r="Y1002" s="25"/>
      <c r="AE1002" s="25"/>
      <c r="AG1002" s="25"/>
    </row>
    <row r="1003" spans="25:33" ht="12">
      <c r="Y1003" s="25"/>
      <c r="AE1003" s="25"/>
      <c r="AG1003" s="25"/>
    </row>
    <row r="1004" spans="25:33" ht="12">
      <c r="Y1004" s="25"/>
      <c r="AE1004" s="25"/>
      <c r="AG1004" s="25"/>
    </row>
    <row r="1005" spans="25:33" ht="12">
      <c r="Y1005" s="25"/>
      <c r="AE1005" s="25"/>
      <c r="AG1005" s="25"/>
    </row>
    <row r="1006" spans="25:33" ht="12">
      <c r="Y1006" s="25"/>
      <c r="AE1006" s="25"/>
      <c r="AG1006" s="25"/>
    </row>
    <row r="1007" spans="25:33" ht="12">
      <c r="Y1007" s="25"/>
      <c r="AE1007" s="25"/>
      <c r="AG1007" s="25"/>
    </row>
    <row r="1008" spans="25:33" ht="12">
      <c r="Y1008" s="25"/>
      <c r="AE1008" s="25"/>
      <c r="AG1008" s="25"/>
    </row>
    <row r="1009" spans="25:33" ht="12">
      <c r="Y1009" s="25"/>
      <c r="AE1009" s="25"/>
      <c r="AG1009" s="25"/>
    </row>
    <row r="1010" spans="25:33" ht="12">
      <c r="Y1010" s="25"/>
      <c r="AE1010" s="25"/>
      <c r="AG1010" s="25"/>
    </row>
    <row r="1011" spans="25:33" ht="12">
      <c r="Y1011" s="25"/>
      <c r="AE1011" s="25"/>
      <c r="AG1011" s="25"/>
    </row>
    <row r="1012" spans="25:33" ht="12">
      <c r="Y1012" s="25"/>
      <c r="AE1012" s="25"/>
      <c r="AG1012" s="25"/>
    </row>
    <row r="1013" spans="25:33" ht="12">
      <c r="Y1013" s="25"/>
      <c r="AE1013" s="25"/>
      <c r="AG1013" s="25"/>
    </row>
    <row r="1014" spans="25:33" ht="12">
      <c r="Y1014" s="25"/>
      <c r="AE1014" s="25"/>
      <c r="AG1014" s="25"/>
    </row>
    <row r="1015" spans="25:33" ht="12">
      <c r="Y1015" s="25"/>
      <c r="AE1015" s="25"/>
      <c r="AG1015" s="25"/>
    </row>
    <row r="1016" spans="25:33" ht="12">
      <c r="Y1016" s="25"/>
      <c r="AE1016" s="25"/>
      <c r="AG1016" s="25"/>
    </row>
    <row r="1017" spans="25:33" ht="12">
      <c r="Y1017" s="25"/>
      <c r="AE1017" s="25"/>
      <c r="AG1017" s="25"/>
    </row>
    <row r="1018" spans="25:33" ht="12">
      <c r="Y1018" s="25"/>
      <c r="AE1018" s="25"/>
      <c r="AG1018" s="25"/>
    </row>
    <row r="1019" spans="25:33" ht="12">
      <c r="Y1019" s="25"/>
      <c r="AE1019" s="25"/>
      <c r="AG1019" s="25"/>
    </row>
    <row r="1020" spans="25:33" ht="12">
      <c r="Y1020" s="25"/>
      <c r="AE1020" s="25"/>
      <c r="AG1020" s="25"/>
    </row>
    <row r="1021" spans="25:33" ht="12">
      <c r="Y1021" s="25"/>
      <c r="AE1021" s="25"/>
      <c r="AG1021" s="25"/>
    </row>
    <row r="1022" spans="25:33" ht="12">
      <c r="Y1022" s="25"/>
      <c r="AE1022" s="25"/>
      <c r="AG1022" s="25"/>
    </row>
    <row r="1023" spans="25:33" ht="12">
      <c r="Y1023" s="25"/>
      <c r="AE1023" s="25"/>
      <c r="AG1023" s="25"/>
    </row>
    <row r="1024" spans="25:33" ht="12">
      <c r="Y1024" s="25"/>
      <c r="AE1024" s="25"/>
      <c r="AG1024" s="25"/>
    </row>
    <row r="1025" spans="25:33" ht="12">
      <c r="Y1025" s="25"/>
      <c r="AE1025" s="25"/>
      <c r="AG1025" s="25"/>
    </row>
    <row r="1026" spans="25:33" ht="12">
      <c r="Y1026" s="25"/>
      <c r="AE1026" s="25"/>
      <c r="AG1026" s="25"/>
    </row>
    <row r="1027" spans="25:33" ht="12">
      <c r="Y1027" s="25"/>
      <c r="AE1027" s="25"/>
      <c r="AG1027" s="25"/>
    </row>
    <row r="1028" spans="25:33" ht="12">
      <c r="Y1028" s="25"/>
      <c r="AE1028" s="25"/>
      <c r="AG1028" s="25"/>
    </row>
    <row r="1029" spans="25:33" ht="12">
      <c r="Y1029" s="25"/>
      <c r="AE1029" s="25"/>
      <c r="AG1029" s="25"/>
    </row>
    <row r="1030" spans="25:33" ht="12">
      <c r="Y1030" s="25"/>
      <c r="AE1030" s="25"/>
      <c r="AG1030" s="25"/>
    </row>
    <row r="1031" spans="25:33" ht="12">
      <c r="Y1031" s="25"/>
      <c r="AE1031" s="25"/>
      <c r="AG1031" s="25"/>
    </row>
    <row r="1032" spans="25:33" ht="12">
      <c r="Y1032" s="25"/>
      <c r="AE1032" s="25"/>
      <c r="AG1032" s="25"/>
    </row>
    <row r="1033" spans="25:33" ht="12">
      <c r="Y1033" s="25"/>
      <c r="AE1033" s="25"/>
      <c r="AG1033" s="25"/>
    </row>
    <row r="1034" spans="25:33" ht="12">
      <c r="Y1034" s="25"/>
      <c r="AE1034" s="25"/>
      <c r="AG1034" s="25"/>
    </row>
    <row r="1035" spans="25:33" ht="12">
      <c r="Y1035" s="25"/>
      <c r="AE1035" s="25"/>
      <c r="AG1035" s="25"/>
    </row>
    <row r="1036" spans="25:33" ht="12">
      <c r="Y1036" s="25"/>
      <c r="AE1036" s="25"/>
      <c r="AG1036" s="25"/>
    </row>
    <row r="1037" spans="25:33" ht="12">
      <c r="Y1037" s="25"/>
      <c r="AE1037" s="25"/>
      <c r="AG1037" s="25"/>
    </row>
    <row r="1038" spans="25:33" ht="12">
      <c r="Y1038" s="25"/>
      <c r="AE1038" s="25"/>
      <c r="AG1038" s="25"/>
    </row>
    <row r="1039" spans="25:33" ht="12">
      <c r="Y1039" s="25"/>
      <c r="AE1039" s="25"/>
      <c r="AG1039" s="25"/>
    </row>
    <row r="1040" spans="25:33" ht="12">
      <c r="Y1040" s="25"/>
      <c r="AE1040" s="25"/>
      <c r="AG1040" s="25"/>
    </row>
    <row r="1041" spans="25:33" ht="12">
      <c r="Y1041" s="25"/>
      <c r="AE1041" s="25"/>
      <c r="AG1041" s="25"/>
    </row>
    <row r="1042" spans="25:33" ht="12">
      <c r="Y1042" s="25"/>
      <c r="AE1042" s="25"/>
      <c r="AG1042" s="25"/>
    </row>
    <row r="1043" spans="25:33" ht="12">
      <c r="Y1043" s="25"/>
      <c r="AE1043" s="25"/>
      <c r="AG1043" s="25"/>
    </row>
    <row r="1044" spans="25:33" ht="12">
      <c r="Y1044" s="25"/>
      <c r="AE1044" s="25"/>
      <c r="AG1044" s="25"/>
    </row>
    <row r="1045" spans="25:33" ht="12">
      <c r="Y1045" s="25"/>
      <c r="AE1045" s="25"/>
      <c r="AG1045" s="25"/>
    </row>
    <row r="1046" spans="25:33" ht="12">
      <c r="Y1046" s="25"/>
      <c r="AE1046" s="25"/>
      <c r="AG1046" s="25"/>
    </row>
    <row r="1047" spans="25:33" ht="12">
      <c r="Y1047" s="25"/>
      <c r="AE1047" s="25"/>
      <c r="AG1047" s="25"/>
    </row>
    <row r="1048" spans="25:33" ht="12">
      <c r="Y1048" s="25"/>
      <c r="AE1048" s="25"/>
      <c r="AG1048" s="25"/>
    </row>
    <row r="1049" spans="25:33" ht="12">
      <c r="Y1049" s="25"/>
      <c r="AE1049" s="25"/>
      <c r="AG1049" s="25"/>
    </row>
    <row r="1050" spans="25:33" ht="12">
      <c r="Y1050" s="25"/>
      <c r="AE1050" s="25"/>
      <c r="AG1050" s="25"/>
    </row>
    <row r="1051" spans="25:33" ht="12">
      <c r="Y1051" s="25"/>
      <c r="AE1051" s="25"/>
      <c r="AG1051" s="25"/>
    </row>
    <row r="1052" spans="25:33" ht="12">
      <c r="Y1052" s="25"/>
      <c r="AE1052" s="25"/>
      <c r="AG1052" s="25"/>
    </row>
    <row r="1053" spans="25:33" ht="12">
      <c r="Y1053" s="25"/>
      <c r="AE1053" s="25"/>
      <c r="AG1053" s="25"/>
    </row>
    <row r="1054" spans="25:33" ht="12">
      <c r="Y1054" s="25"/>
      <c r="AE1054" s="25"/>
      <c r="AG1054" s="25"/>
    </row>
    <row r="1055" spans="25:33" ht="12">
      <c r="Y1055" s="25"/>
      <c r="AE1055" s="25"/>
      <c r="AG1055" s="25"/>
    </row>
    <row r="1056" spans="25:33" ht="12">
      <c r="Y1056" s="25"/>
      <c r="AE1056" s="25"/>
      <c r="AG1056" s="25"/>
    </row>
    <row r="1057" spans="25:33" ht="12">
      <c r="Y1057" s="25"/>
      <c r="AE1057" s="25"/>
      <c r="AG1057" s="25"/>
    </row>
    <row r="1058" spans="25:33" ht="12">
      <c r="Y1058" s="25"/>
      <c r="AE1058" s="25"/>
      <c r="AG1058" s="25"/>
    </row>
    <row r="1059" spans="25:33" ht="12">
      <c r="Y1059" s="25"/>
      <c r="AE1059" s="25"/>
      <c r="AG1059" s="25"/>
    </row>
    <row r="1060" spans="25:33" ht="12">
      <c r="Y1060" s="25"/>
      <c r="AE1060" s="25"/>
      <c r="AG1060" s="25"/>
    </row>
    <row r="1061" spans="25:33" ht="12">
      <c r="Y1061" s="25"/>
      <c r="AE1061" s="25"/>
      <c r="AG1061" s="25"/>
    </row>
    <row r="1062" spans="25:33" ht="12">
      <c r="Y1062" s="25"/>
      <c r="AE1062" s="25"/>
      <c r="AG1062" s="25"/>
    </row>
    <row r="1063" spans="25:33" ht="12">
      <c r="Y1063" s="25"/>
      <c r="AE1063" s="25"/>
      <c r="AG1063" s="25"/>
    </row>
    <row r="1064" spans="25:33" ht="12">
      <c r="Y1064" s="25"/>
      <c r="AE1064" s="25"/>
      <c r="AG1064" s="25"/>
    </row>
    <row r="1065" spans="25:33" ht="12">
      <c r="Y1065" s="25"/>
      <c r="AE1065" s="25"/>
      <c r="AG1065" s="25"/>
    </row>
    <row r="1066" spans="25:33" ht="12">
      <c r="Y1066" s="25"/>
      <c r="AE1066" s="25"/>
      <c r="AG1066" s="25"/>
    </row>
    <row r="1067" spans="25:33" ht="12">
      <c r="Y1067" s="25"/>
      <c r="AE1067" s="25"/>
      <c r="AG1067" s="25"/>
    </row>
    <row r="1068" spans="25:33" ht="12">
      <c r="Y1068" s="25"/>
      <c r="AE1068" s="25"/>
      <c r="AG1068" s="25"/>
    </row>
    <row r="1069" spans="25:33" ht="12">
      <c r="Y1069" s="25"/>
      <c r="AE1069" s="25"/>
      <c r="AG1069" s="25"/>
    </row>
    <row r="1070" spans="25:33" ht="12">
      <c r="Y1070" s="25"/>
      <c r="AE1070" s="25"/>
      <c r="AG1070" s="25"/>
    </row>
    <row r="1071" spans="25:33" ht="12">
      <c r="Y1071" s="25"/>
      <c r="AE1071" s="25"/>
      <c r="AG1071" s="25"/>
    </row>
    <row r="1072" spans="25:33" ht="12">
      <c r="Y1072" s="25"/>
      <c r="AE1072" s="25"/>
      <c r="AG1072" s="25"/>
    </row>
    <row r="1073" spans="25:33" ht="12">
      <c r="Y1073" s="25"/>
      <c r="AE1073" s="25"/>
      <c r="AG1073" s="25"/>
    </row>
    <row r="1074" spans="25:33" ht="12">
      <c r="Y1074" s="25"/>
      <c r="AE1074" s="25"/>
      <c r="AG1074" s="25"/>
    </row>
    <row r="1075" spans="25:33" ht="12">
      <c r="Y1075" s="25"/>
      <c r="AE1075" s="25"/>
      <c r="AG1075" s="25"/>
    </row>
    <row r="1076" spans="25:33" ht="12">
      <c r="Y1076" s="25"/>
      <c r="AE1076" s="25"/>
      <c r="AG1076" s="25"/>
    </row>
    <row r="1077" spans="25:33" ht="12">
      <c r="Y1077" s="25"/>
      <c r="AE1077" s="25"/>
      <c r="AG1077" s="25"/>
    </row>
    <row r="1078" spans="25:33" ht="12">
      <c r="Y1078" s="25"/>
      <c r="AE1078" s="25"/>
      <c r="AG1078" s="25"/>
    </row>
    <row r="1079" spans="25:33" ht="12">
      <c r="Y1079" s="25"/>
      <c r="AE1079" s="25"/>
      <c r="AG1079" s="25"/>
    </row>
    <row r="1080" spans="25:33" ht="12">
      <c r="Y1080" s="25"/>
      <c r="AE1080" s="25"/>
      <c r="AG1080" s="25"/>
    </row>
    <row r="1081" spans="25:33" ht="12">
      <c r="Y1081" s="25"/>
      <c r="AE1081" s="25"/>
      <c r="AG1081" s="25"/>
    </row>
    <row r="1082" spans="25:33" ht="12">
      <c r="Y1082" s="25"/>
      <c r="AE1082" s="25"/>
      <c r="AG1082" s="25"/>
    </row>
    <row r="1083" spans="25:33" ht="12">
      <c r="Y1083" s="25"/>
      <c r="AE1083" s="25"/>
      <c r="AG1083" s="25"/>
    </row>
    <row r="1084" spans="25:33" ht="12">
      <c r="Y1084" s="25"/>
      <c r="AE1084" s="25"/>
      <c r="AG1084" s="25"/>
    </row>
    <row r="1085" spans="25:33" ht="12">
      <c r="Y1085" s="25"/>
      <c r="AE1085" s="25"/>
      <c r="AG1085" s="25"/>
    </row>
    <row r="1086" spans="25:33" ht="12">
      <c r="Y1086" s="25"/>
      <c r="AE1086" s="25"/>
      <c r="AG1086" s="25"/>
    </row>
    <row r="1087" spans="25:33" ht="12">
      <c r="Y1087" s="25"/>
      <c r="AE1087" s="25"/>
      <c r="AG1087" s="25"/>
    </row>
    <row r="1088" spans="25:33" ht="12">
      <c r="Y1088" s="25"/>
      <c r="AE1088" s="25"/>
      <c r="AG1088" s="25"/>
    </row>
    <row r="1089" spans="25:33" ht="12">
      <c r="Y1089" s="25"/>
      <c r="AE1089" s="25"/>
      <c r="AG1089" s="25"/>
    </row>
    <row r="1090" spans="25:33" ht="12">
      <c r="Y1090" s="25"/>
      <c r="AE1090" s="25"/>
      <c r="AG1090" s="25"/>
    </row>
    <row r="1091" spans="25:33" ht="12">
      <c r="Y1091" s="25"/>
      <c r="AE1091" s="25"/>
      <c r="AG1091" s="25"/>
    </row>
    <row r="1092" spans="25:33" ht="12">
      <c r="Y1092" s="25"/>
      <c r="AE1092" s="25"/>
      <c r="AG1092" s="25"/>
    </row>
    <row r="1093" spans="25:33" ht="12">
      <c r="Y1093" s="25"/>
      <c r="AE1093" s="25"/>
      <c r="AG1093" s="25"/>
    </row>
    <row r="1094" spans="25:33" ht="12">
      <c r="Y1094" s="25"/>
      <c r="AE1094" s="25"/>
      <c r="AG1094" s="25"/>
    </row>
    <row r="1095" spans="25:33" ht="12">
      <c r="Y1095" s="25"/>
      <c r="AE1095" s="25"/>
      <c r="AG1095" s="25"/>
    </row>
    <row r="1096" spans="25:33" ht="12">
      <c r="Y1096" s="25"/>
      <c r="AE1096" s="25"/>
      <c r="AG1096" s="25"/>
    </row>
    <row r="1097" spans="25:33" ht="12">
      <c r="Y1097" s="25"/>
      <c r="AE1097" s="25"/>
      <c r="AG1097" s="25"/>
    </row>
    <row r="1098" spans="25:33" ht="12">
      <c r="Y1098" s="25"/>
      <c r="AE1098" s="25"/>
      <c r="AG1098" s="25"/>
    </row>
    <row r="1099" spans="25:33" ht="12">
      <c r="Y1099" s="25"/>
      <c r="AE1099" s="25"/>
      <c r="AG1099" s="25"/>
    </row>
    <row r="1100" spans="25:33" ht="12">
      <c r="Y1100" s="25"/>
      <c r="AE1100" s="25"/>
      <c r="AG1100" s="25"/>
    </row>
    <row r="1101" spans="25:33" ht="12">
      <c r="Y1101" s="25"/>
      <c r="AE1101" s="25"/>
      <c r="AG1101" s="25"/>
    </row>
    <row r="1102" spans="25:33" ht="12">
      <c r="Y1102" s="25"/>
      <c r="AE1102" s="25"/>
      <c r="AG1102" s="25"/>
    </row>
    <row r="1103" spans="25:33" ht="12">
      <c r="Y1103" s="25"/>
      <c r="AE1103" s="25"/>
      <c r="AG1103" s="25"/>
    </row>
    <row r="1104" spans="25:33" ht="12">
      <c r="Y1104" s="25"/>
      <c r="AE1104" s="25"/>
      <c r="AG1104" s="25"/>
    </row>
    <row r="1105" spans="25:33" ht="12">
      <c r="Y1105" s="25"/>
      <c r="AE1105" s="25"/>
      <c r="AG1105" s="25"/>
    </row>
    <row r="1106" spans="25:33" ht="12">
      <c r="Y1106" s="25"/>
      <c r="AE1106" s="25"/>
      <c r="AG1106" s="25"/>
    </row>
    <row r="1107" spans="25:33" ht="12">
      <c r="Y1107" s="25"/>
      <c r="AE1107" s="25"/>
      <c r="AG1107" s="25"/>
    </row>
    <row r="1108" spans="25:33" ht="12">
      <c r="Y1108" s="25"/>
      <c r="AE1108" s="25"/>
      <c r="AG1108" s="25"/>
    </row>
    <row r="1109" spans="25:33" ht="12">
      <c r="Y1109" s="25"/>
      <c r="AE1109" s="25"/>
      <c r="AG1109" s="25"/>
    </row>
    <row r="1110" spans="25:33" ht="12">
      <c r="Y1110" s="25"/>
      <c r="AE1110" s="25"/>
      <c r="AG1110" s="25"/>
    </row>
    <row r="1111" spans="25:33" ht="12">
      <c r="Y1111" s="25"/>
      <c r="AE1111" s="25"/>
      <c r="AG1111" s="25"/>
    </row>
    <row r="1112" spans="25:33" ht="12">
      <c r="Y1112" s="25"/>
      <c r="AE1112" s="25"/>
      <c r="AG1112" s="25"/>
    </row>
    <row r="1113" spans="25:33" ht="12">
      <c r="Y1113" s="25"/>
      <c r="AE1113" s="25"/>
      <c r="AG1113" s="25"/>
    </row>
    <row r="1114" spans="25:33" ht="12">
      <c r="Y1114" s="25"/>
      <c r="AE1114" s="25"/>
      <c r="AG1114" s="25"/>
    </row>
    <row r="1115" spans="25:33" ht="12">
      <c r="Y1115" s="25"/>
      <c r="AE1115" s="25"/>
      <c r="AG1115" s="25"/>
    </row>
    <row r="1116" spans="25:33" ht="12">
      <c r="Y1116" s="25"/>
      <c r="AE1116" s="25"/>
      <c r="AG1116" s="25"/>
    </row>
    <row r="1117" spans="25:33" ht="12">
      <c r="Y1117" s="25"/>
      <c r="AE1117" s="25"/>
      <c r="AG1117" s="25"/>
    </row>
    <row r="1118" spans="25:33" ht="12">
      <c r="Y1118" s="25"/>
      <c r="AE1118" s="25"/>
      <c r="AG1118" s="25"/>
    </row>
    <row r="1119" spans="25:33" ht="12">
      <c r="Y1119" s="25"/>
      <c r="AE1119" s="25"/>
      <c r="AG1119" s="25"/>
    </row>
    <row r="1120" spans="25:33" ht="12">
      <c r="Y1120" s="25"/>
      <c r="AE1120" s="25"/>
      <c r="AG1120" s="25"/>
    </row>
    <row r="1121" spans="25:33" ht="12">
      <c r="Y1121" s="25"/>
      <c r="AE1121" s="25"/>
      <c r="AG1121" s="25"/>
    </row>
    <row r="1122" spans="25:33" ht="12">
      <c r="Y1122" s="25"/>
      <c r="AE1122" s="25"/>
      <c r="AG1122" s="25"/>
    </row>
    <row r="1123" spans="25:33" ht="12">
      <c r="Y1123" s="25"/>
      <c r="AE1123" s="25"/>
      <c r="AG1123" s="25"/>
    </row>
    <row r="1124" spans="25:33" ht="12">
      <c r="Y1124" s="25"/>
      <c r="AE1124" s="25"/>
      <c r="AG1124" s="25"/>
    </row>
    <row r="1125" spans="25:33" ht="12">
      <c r="Y1125" s="25"/>
      <c r="AE1125" s="25"/>
      <c r="AG1125" s="25"/>
    </row>
    <row r="1126" spans="25:33" ht="12">
      <c r="Y1126" s="25"/>
      <c r="AE1126" s="25"/>
      <c r="AG1126" s="25"/>
    </row>
    <row r="1127" spans="25:33" ht="12">
      <c r="Y1127" s="25"/>
      <c r="AE1127" s="25"/>
      <c r="AG1127" s="25"/>
    </row>
    <row r="1128" spans="25:33" ht="12">
      <c r="Y1128" s="25"/>
      <c r="AE1128" s="25"/>
      <c r="AG1128" s="25"/>
    </row>
    <row r="1129" spans="25:33" ht="12">
      <c r="Y1129" s="25"/>
      <c r="AE1129" s="25"/>
      <c r="AG1129" s="25"/>
    </row>
    <row r="1130" spans="25:33" ht="12">
      <c r="Y1130" s="25"/>
      <c r="AE1130" s="25"/>
      <c r="AG1130" s="25"/>
    </row>
    <row r="1131" spans="25:33" ht="12">
      <c r="Y1131" s="25"/>
      <c r="AE1131" s="25"/>
      <c r="AG1131" s="25"/>
    </row>
    <row r="1132" spans="25:33" ht="12">
      <c r="Y1132" s="25"/>
      <c r="AE1132" s="25"/>
      <c r="AG1132" s="25"/>
    </row>
    <row r="1133" spans="25:33" ht="12">
      <c r="Y1133" s="25"/>
      <c r="AE1133" s="25"/>
      <c r="AG1133" s="25"/>
    </row>
    <row r="1134" spans="25:33" ht="12">
      <c r="Y1134" s="25"/>
      <c r="AE1134" s="25"/>
      <c r="AG1134" s="25"/>
    </row>
    <row r="1135" spans="25:33" ht="12">
      <c r="Y1135" s="25"/>
      <c r="AE1135" s="25"/>
      <c r="AG1135" s="25"/>
    </row>
    <row r="1136" spans="25:33" ht="12">
      <c r="Y1136" s="25"/>
      <c r="AE1136" s="25"/>
      <c r="AG1136" s="25"/>
    </row>
    <row r="1137" spans="25:33" ht="12">
      <c r="Y1137" s="25"/>
      <c r="AE1137" s="25"/>
      <c r="AG1137" s="25"/>
    </row>
    <row r="1138" spans="25:33" ht="12">
      <c r="Y1138" s="25"/>
      <c r="AE1138" s="25"/>
      <c r="AG1138" s="25"/>
    </row>
    <row r="1139" spans="25:33" ht="12">
      <c r="Y1139" s="25"/>
      <c r="AE1139" s="25"/>
      <c r="AG1139" s="25"/>
    </row>
    <row r="1140" spans="25:33" ht="12">
      <c r="Y1140" s="25"/>
      <c r="AE1140" s="25"/>
      <c r="AG1140" s="25"/>
    </row>
    <row r="1141" spans="25:33" ht="12">
      <c r="Y1141" s="25"/>
      <c r="AE1141" s="25"/>
      <c r="AG1141" s="25"/>
    </row>
    <row r="1142" spans="25:33" ht="12">
      <c r="Y1142" s="25"/>
      <c r="AE1142" s="25"/>
      <c r="AG1142" s="25"/>
    </row>
    <row r="1143" spans="25:33" ht="12">
      <c r="Y1143" s="25"/>
      <c r="AE1143" s="25"/>
      <c r="AG1143" s="25"/>
    </row>
    <row r="1144" spans="25:33" ht="12">
      <c r="Y1144" s="25"/>
      <c r="AE1144" s="25"/>
      <c r="AG1144" s="25"/>
    </row>
    <row r="1145" spans="25:33" ht="12">
      <c r="Y1145" s="25"/>
      <c r="AE1145" s="25"/>
      <c r="AG1145" s="25"/>
    </row>
    <row r="1146" spans="25:33" ht="12">
      <c r="Y1146" s="25"/>
      <c r="AE1146" s="25"/>
      <c r="AG1146" s="25"/>
    </row>
    <row r="1147" spans="25:33" ht="12">
      <c r="Y1147" s="25"/>
      <c r="AE1147" s="25"/>
      <c r="AG1147" s="25"/>
    </row>
    <row r="1148" spans="25:33" ht="12">
      <c r="Y1148" s="25"/>
      <c r="AE1148" s="25"/>
      <c r="AG1148" s="25"/>
    </row>
    <row r="1149" spans="25:33" ht="12">
      <c r="Y1149" s="25"/>
      <c r="AE1149" s="25"/>
      <c r="AG1149" s="25"/>
    </row>
    <row r="1150" spans="25:33" ht="12">
      <c r="Y1150" s="25"/>
      <c r="AE1150" s="25"/>
      <c r="AG1150" s="25"/>
    </row>
    <row r="1151" spans="25:33" ht="12">
      <c r="Y1151" s="25"/>
      <c r="AE1151" s="25"/>
      <c r="AG1151" s="25"/>
    </row>
    <row r="1152" spans="25:33" ht="12">
      <c r="Y1152" s="25"/>
      <c r="AE1152" s="25"/>
      <c r="AG1152" s="25"/>
    </row>
    <row r="1153" spans="25:33" ht="12">
      <c r="Y1153" s="25"/>
      <c r="AE1153" s="25"/>
      <c r="AG1153" s="25"/>
    </row>
    <row r="1154" spans="25:33" ht="12">
      <c r="Y1154" s="25"/>
      <c r="AE1154" s="25"/>
      <c r="AG1154" s="25"/>
    </row>
    <row r="1155" spans="25:33" ht="12">
      <c r="Y1155" s="25"/>
      <c r="AE1155" s="25"/>
      <c r="AG1155" s="25"/>
    </row>
    <row r="1156" spans="25:33" ht="12">
      <c r="Y1156" s="25"/>
      <c r="AE1156" s="25"/>
      <c r="AG1156" s="25"/>
    </row>
    <row r="1157" spans="25:33" ht="12">
      <c r="Y1157" s="25"/>
      <c r="AE1157" s="25"/>
      <c r="AG1157" s="25"/>
    </row>
    <row r="1158" spans="25:33" ht="12">
      <c r="Y1158" s="25"/>
      <c r="AE1158" s="25"/>
      <c r="AG1158" s="25"/>
    </row>
    <row r="1159" spans="25:33" ht="12">
      <c r="Y1159" s="25"/>
      <c r="AE1159" s="25"/>
      <c r="AG1159" s="25"/>
    </row>
    <row r="1160" spans="25:33" ht="12">
      <c r="Y1160" s="25"/>
      <c r="AE1160" s="25"/>
      <c r="AG1160" s="25"/>
    </row>
    <row r="1161" spans="25:33" ht="12">
      <c r="Y1161" s="25"/>
      <c r="AE1161" s="25"/>
      <c r="AG1161" s="25"/>
    </row>
    <row r="1162" spans="25:33" ht="12">
      <c r="Y1162" s="25"/>
      <c r="AE1162" s="25"/>
      <c r="AG1162" s="25"/>
    </row>
    <row r="1163" spans="25:33" ht="12">
      <c r="Y1163" s="25"/>
      <c r="AE1163" s="25"/>
      <c r="AG1163" s="25"/>
    </row>
    <row r="1164" spans="25:33" ht="12">
      <c r="Y1164" s="25"/>
      <c r="AE1164" s="25"/>
      <c r="AG1164" s="25"/>
    </row>
    <row r="1165" spans="25:33" ht="12">
      <c r="Y1165" s="25"/>
      <c r="AE1165" s="25"/>
      <c r="AG1165" s="25"/>
    </row>
    <row r="1166" spans="25:33" ht="12">
      <c r="Y1166" s="25"/>
      <c r="AE1166" s="25"/>
      <c r="AG1166" s="25"/>
    </row>
    <row r="1167" spans="25:33" ht="12">
      <c r="Y1167" s="25"/>
      <c r="AE1167" s="25"/>
      <c r="AG1167" s="25"/>
    </row>
    <row r="1168" spans="25:33" ht="12">
      <c r="Y1168" s="25"/>
      <c r="AE1168" s="25"/>
      <c r="AG1168" s="25"/>
    </row>
    <row r="1169" spans="25:33" ht="12">
      <c r="Y1169" s="25"/>
      <c r="AE1169" s="25"/>
      <c r="AG1169" s="25"/>
    </row>
    <row r="1170" spans="25:33" ht="12">
      <c r="Y1170" s="25"/>
      <c r="AE1170" s="25"/>
      <c r="AG1170" s="25"/>
    </row>
    <row r="1171" spans="25:33" ht="12">
      <c r="Y1171" s="25"/>
      <c r="AE1171" s="25"/>
      <c r="AG1171" s="25"/>
    </row>
    <row r="1172" spans="25:33" ht="12">
      <c r="Y1172" s="25"/>
      <c r="AE1172" s="25"/>
      <c r="AG1172" s="25"/>
    </row>
    <row r="1173" spans="25:33" ht="12">
      <c r="Y1173" s="25"/>
      <c r="AE1173" s="25"/>
      <c r="AG1173" s="25"/>
    </row>
    <row r="1174" spans="25:33" ht="12">
      <c r="Y1174" s="25"/>
      <c r="AE1174" s="25"/>
      <c r="AG1174" s="25"/>
    </row>
    <row r="1175" spans="25:33" ht="12">
      <c r="Y1175" s="25"/>
      <c r="AE1175" s="25"/>
      <c r="AG1175" s="25"/>
    </row>
    <row r="1176" spans="25:33" ht="12">
      <c r="Y1176" s="25"/>
      <c r="AE1176" s="25"/>
      <c r="AG1176" s="25"/>
    </row>
    <row r="1177" spans="25:33" ht="12">
      <c r="Y1177" s="25"/>
      <c r="AE1177" s="25"/>
      <c r="AG1177" s="25"/>
    </row>
    <row r="1178" spans="25:33" ht="12">
      <c r="Y1178" s="25"/>
      <c r="AE1178" s="25"/>
      <c r="AG1178" s="25"/>
    </row>
    <row r="1179" spans="25:33" ht="12">
      <c r="Y1179" s="25"/>
      <c r="AE1179" s="25"/>
      <c r="AG1179" s="25"/>
    </row>
    <row r="1180" spans="25:33" ht="12">
      <c r="Y1180" s="25"/>
      <c r="AE1180" s="25"/>
      <c r="AG1180" s="25"/>
    </row>
    <row r="1181" spans="25:33" ht="12">
      <c r="Y1181" s="25"/>
      <c r="AE1181" s="25"/>
      <c r="AG1181" s="25"/>
    </row>
    <row r="1182" spans="25:33" ht="12">
      <c r="Y1182" s="25"/>
      <c r="AE1182" s="25"/>
      <c r="AG1182" s="25"/>
    </row>
    <row r="1183" spans="25:33" ht="12">
      <c r="Y1183" s="25"/>
      <c r="AE1183" s="25"/>
      <c r="AG1183" s="25"/>
    </row>
    <row r="1184" spans="25:33" ht="12">
      <c r="Y1184" s="25"/>
      <c r="AE1184" s="25"/>
      <c r="AG1184" s="25"/>
    </row>
    <row r="1185" spans="25:33" ht="12">
      <c r="Y1185" s="25"/>
      <c r="AE1185" s="25"/>
      <c r="AG1185" s="25"/>
    </row>
    <row r="1186" spans="25:33" ht="12">
      <c r="Y1186" s="25"/>
      <c r="AE1186" s="25"/>
      <c r="AG1186" s="25"/>
    </row>
    <row r="1187" spans="25:33" ht="12">
      <c r="Y1187" s="25"/>
      <c r="AE1187" s="25"/>
      <c r="AG1187" s="25"/>
    </row>
    <row r="1188" spans="25:33" ht="12">
      <c r="Y1188" s="25"/>
      <c r="AE1188" s="25"/>
      <c r="AG1188" s="25"/>
    </row>
    <row r="1189" spans="25:33" ht="12">
      <c r="Y1189" s="25"/>
      <c r="AE1189" s="25"/>
      <c r="AG1189" s="25"/>
    </row>
    <row r="1190" spans="25:33" ht="12">
      <c r="Y1190" s="25"/>
      <c r="AE1190" s="25"/>
      <c r="AG1190" s="25"/>
    </row>
    <row r="1191" spans="25:33" ht="12">
      <c r="Y1191" s="25"/>
      <c r="AE1191" s="25"/>
      <c r="AG1191" s="25"/>
    </row>
    <row r="1192" spans="25:33" ht="12">
      <c r="Y1192" s="25"/>
      <c r="AE1192" s="25"/>
      <c r="AG1192" s="25"/>
    </row>
    <row r="1193" spans="25:33" ht="12">
      <c r="Y1193" s="25"/>
      <c r="AE1193" s="25"/>
      <c r="AG1193" s="25"/>
    </row>
    <row r="1194" spans="25:33" ht="12">
      <c r="Y1194" s="25"/>
      <c r="AE1194" s="25"/>
      <c r="AG1194" s="25"/>
    </row>
    <row r="1195" spans="25:33" ht="12">
      <c r="Y1195" s="25"/>
      <c r="AE1195" s="25"/>
      <c r="AG1195" s="25"/>
    </row>
    <row r="1196" spans="25:33" ht="12">
      <c r="Y1196" s="25"/>
      <c r="AE1196" s="25"/>
      <c r="AG1196" s="25"/>
    </row>
    <row r="1197" spans="25:33" ht="12">
      <c r="Y1197" s="25"/>
      <c r="AE1197" s="25"/>
      <c r="AG1197" s="25"/>
    </row>
    <row r="1198" spans="25:33" ht="12">
      <c r="Y1198" s="25"/>
      <c r="AE1198" s="25"/>
      <c r="AG1198" s="25"/>
    </row>
    <row r="1199" spans="25:33" ht="12">
      <c r="Y1199" s="25"/>
      <c r="AE1199" s="25"/>
      <c r="AG1199" s="25"/>
    </row>
    <row r="1200" spans="25:33" ht="12">
      <c r="Y1200" s="25"/>
      <c r="AE1200" s="25"/>
      <c r="AG1200" s="25"/>
    </row>
    <row r="1201" spans="25:33" ht="12">
      <c r="Y1201" s="25"/>
      <c r="AE1201" s="25"/>
      <c r="AG1201" s="25"/>
    </row>
    <row r="1202" spans="25:33" ht="12">
      <c r="Y1202" s="25"/>
      <c r="AE1202" s="25"/>
      <c r="AG1202" s="25"/>
    </row>
    <row r="1203" spans="25:33" ht="12">
      <c r="Y1203" s="25"/>
      <c r="AE1203" s="25"/>
      <c r="AG1203" s="25"/>
    </row>
    <row r="1204" spans="25:33" ht="12">
      <c r="Y1204" s="25"/>
      <c r="AE1204" s="25"/>
      <c r="AG1204" s="25"/>
    </row>
    <row r="1205" spans="25:33" ht="12">
      <c r="Y1205" s="25"/>
      <c r="AE1205" s="25"/>
      <c r="AG1205" s="25"/>
    </row>
    <row r="1206" spans="25:33" ht="12">
      <c r="Y1206" s="25"/>
      <c r="AE1206" s="25"/>
      <c r="AG1206" s="25"/>
    </row>
    <row r="1207" spans="25:33" ht="12">
      <c r="Y1207" s="25"/>
      <c r="AE1207" s="25"/>
      <c r="AG1207" s="25"/>
    </row>
    <row r="1208" spans="25:33" ht="12">
      <c r="Y1208" s="25"/>
      <c r="AE1208" s="25"/>
      <c r="AG1208" s="25"/>
    </row>
    <row r="1209" spans="25:33" ht="12">
      <c r="Y1209" s="25"/>
      <c r="AE1209" s="25"/>
      <c r="AG1209" s="25"/>
    </row>
    <row r="1210" spans="25:33" ht="12">
      <c r="Y1210" s="25"/>
      <c r="AE1210" s="25"/>
      <c r="AG1210" s="25"/>
    </row>
    <row r="1211" spans="25:33" ht="12">
      <c r="Y1211" s="25"/>
      <c r="AE1211" s="25"/>
      <c r="AG1211" s="25"/>
    </row>
    <row r="1212" spans="25:33" ht="12">
      <c r="Y1212" s="25"/>
      <c r="AE1212" s="25"/>
      <c r="AG1212" s="25"/>
    </row>
    <row r="1213" spans="25:33" ht="12">
      <c r="Y1213" s="25"/>
      <c r="AE1213" s="25"/>
      <c r="AG1213" s="25"/>
    </row>
    <row r="1214" spans="25:33" ht="12">
      <c r="Y1214" s="25"/>
      <c r="AE1214" s="25"/>
      <c r="AG1214" s="25"/>
    </row>
    <row r="1215" spans="25:33" ht="12">
      <c r="Y1215" s="25"/>
      <c r="AE1215" s="25"/>
      <c r="AG1215" s="25"/>
    </row>
    <row r="1216" spans="25:33" ht="12">
      <c r="Y1216" s="25"/>
      <c r="AE1216" s="25"/>
      <c r="AG1216" s="25"/>
    </row>
    <row r="1217" spans="25:33" ht="12">
      <c r="Y1217" s="25"/>
      <c r="AE1217" s="25"/>
      <c r="AG1217" s="25"/>
    </row>
    <row r="1218" spans="25:33" ht="12">
      <c r="Y1218" s="25"/>
      <c r="AE1218" s="25"/>
      <c r="AG1218" s="25"/>
    </row>
    <row r="1219" spans="25:33" ht="12">
      <c r="Y1219" s="25"/>
      <c r="AE1219" s="25"/>
      <c r="AG1219" s="25"/>
    </row>
    <row r="1220" spans="25:33" ht="12">
      <c r="Y1220" s="25"/>
      <c r="AE1220" s="25"/>
      <c r="AG1220" s="25"/>
    </row>
    <row r="1221" spans="25:33" ht="12">
      <c r="Y1221" s="25"/>
      <c r="AE1221" s="25"/>
      <c r="AG1221" s="25"/>
    </row>
    <row r="1222" spans="25:33" ht="12">
      <c r="Y1222" s="25"/>
      <c r="AE1222" s="25"/>
      <c r="AG1222" s="25"/>
    </row>
    <row r="1223" spans="25:33" ht="12">
      <c r="Y1223" s="25"/>
      <c r="AE1223" s="25"/>
      <c r="AG1223" s="25"/>
    </row>
    <row r="1224" spans="25:33" ht="12">
      <c r="Y1224" s="25"/>
      <c r="AE1224" s="25"/>
      <c r="AG1224" s="25"/>
    </row>
    <row r="1225" spans="25:33" ht="12">
      <c r="Y1225" s="25"/>
      <c r="AE1225" s="25"/>
      <c r="AG1225" s="25"/>
    </row>
    <row r="1226" spans="25:33" ht="12">
      <c r="Y1226" s="25"/>
      <c r="AE1226" s="25"/>
      <c r="AG1226" s="25"/>
    </row>
    <row r="1227" spans="25:33" ht="12">
      <c r="Y1227" s="25"/>
      <c r="AE1227" s="25"/>
      <c r="AG1227" s="25"/>
    </row>
    <row r="1228" spans="25:33" ht="12">
      <c r="Y1228" s="25"/>
      <c r="AE1228" s="25"/>
      <c r="AG1228" s="25"/>
    </row>
    <row r="1229" spans="25:33" ht="12">
      <c r="Y1229" s="25"/>
      <c r="AE1229" s="25"/>
      <c r="AG1229" s="25"/>
    </row>
    <row r="1230" spans="25:33" ht="12">
      <c r="Y1230" s="25"/>
      <c r="AE1230" s="25"/>
      <c r="AG1230" s="25"/>
    </row>
    <row r="1231" spans="25:33" ht="12">
      <c r="Y1231" s="25"/>
      <c r="AE1231" s="25"/>
      <c r="AG1231" s="25"/>
    </row>
    <row r="1232" spans="25:33" ht="12">
      <c r="Y1232" s="25"/>
      <c r="AE1232" s="25"/>
      <c r="AG1232" s="25"/>
    </row>
    <row r="1233" spans="25:33" ht="12">
      <c r="Y1233" s="25"/>
      <c r="AE1233" s="25"/>
      <c r="AG1233" s="25"/>
    </row>
    <row r="1234" spans="25:33" ht="12">
      <c r="Y1234" s="25"/>
      <c r="AE1234" s="25"/>
      <c r="AG1234" s="25"/>
    </row>
    <row r="1235" spans="25:33" ht="12">
      <c r="Y1235" s="25"/>
      <c r="AE1235" s="25"/>
      <c r="AG1235" s="25"/>
    </row>
    <row r="1236" spans="25:33" ht="12">
      <c r="Y1236" s="25"/>
      <c r="AE1236" s="25"/>
      <c r="AG1236" s="25"/>
    </row>
    <row r="1237" spans="25:33" ht="12">
      <c r="Y1237" s="25"/>
      <c r="AE1237" s="25"/>
      <c r="AG1237" s="25"/>
    </row>
    <row r="1238" spans="25:33" ht="12">
      <c r="Y1238" s="25"/>
      <c r="AE1238" s="25"/>
      <c r="AG1238" s="25"/>
    </row>
    <row r="1239" spans="25:33" ht="12">
      <c r="Y1239" s="25"/>
      <c r="AE1239" s="25"/>
      <c r="AG1239" s="25"/>
    </row>
    <row r="1240" spans="25:33" ht="12">
      <c r="Y1240" s="25"/>
      <c r="AE1240" s="25"/>
      <c r="AG1240" s="25"/>
    </row>
    <row r="1241" spans="25:33" ht="12">
      <c r="Y1241" s="25"/>
      <c r="AE1241" s="25"/>
      <c r="AG1241" s="25"/>
    </row>
    <row r="1242" spans="25:33" ht="12">
      <c r="Y1242" s="25"/>
      <c r="AE1242" s="25"/>
      <c r="AG1242" s="25"/>
    </row>
    <row r="1243" spans="25:33" ht="12">
      <c r="Y1243" s="25"/>
      <c r="AE1243" s="25"/>
      <c r="AG1243" s="25"/>
    </row>
    <row r="1244" spans="25:33" ht="12">
      <c r="Y1244" s="25"/>
      <c r="AE1244" s="25"/>
      <c r="AG1244" s="25"/>
    </row>
    <row r="1245" spans="25:33" ht="12">
      <c r="Y1245" s="25"/>
      <c r="AE1245" s="25"/>
      <c r="AG1245" s="25"/>
    </row>
    <row r="1246" spans="25:33" ht="12">
      <c r="Y1246" s="25"/>
      <c r="AE1246" s="25"/>
      <c r="AG1246" s="25"/>
    </row>
    <row r="1247" spans="25:33" ht="12">
      <c r="Y1247" s="25"/>
      <c r="AE1247" s="25"/>
      <c r="AG1247" s="25"/>
    </row>
    <row r="1248" spans="25:33" ht="12">
      <c r="Y1248" s="25"/>
      <c r="AE1248" s="25"/>
      <c r="AG1248" s="25"/>
    </row>
    <row r="1249" spans="25:33" ht="12">
      <c r="Y1249" s="25"/>
      <c r="AE1249" s="25"/>
      <c r="AG1249" s="25"/>
    </row>
    <row r="1250" spans="25:33" ht="12">
      <c r="Y1250" s="25"/>
      <c r="AE1250" s="25"/>
      <c r="AG1250" s="25"/>
    </row>
    <row r="1251" spans="25:33" ht="12">
      <c r="Y1251" s="25"/>
      <c r="AE1251" s="25"/>
      <c r="AG1251" s="25"/>
    </row>
    <row r="1252" spans="25:33" ht="12">
      <c r="Y1252" s="25"/>
      <c r="AE1252" s="25"/>
      <c r="AG1252" s="25"/>
    </row>
    <row r="1253" spans="25:33" ht="12">
      <c r="Y1253" s="25"/>
      <c r="AE1253" s="25"/>
      <c r="AG1253" s="25"/>
    </row>
    <row r="1254" spans="25:33" ht="12">
      <c r="Y1254" s="25"/>
      <c r="AE1254" s="25"/>
      <c r="AG1254" s="25"/>
    </row>
    <row r="1255" spans="25:33" ht="12">
      <c r="Y1255" s="25"/>
      <c r="AE1255" s="25"/>
      <c r="AG1255" s="25"/>
    </row>
    <row r="1256" spans="25:33" ht="12">
      <c r="Y1256" s="25"/>
      <c r="AE1256" s="25"/>
      <c r="AG1256" s="25"/>
    </row>
    <row r="1257" spans="25:33" ht="12">
      <c r="Y1257" s="25"/>
      <c r="AE1257" s="25"/>
      <c r="AG1257" s="25"/>
    </row>
    <row r="1258" spans="25:33" ht="12">
      <c r="Y1258" s="25"/>
      <c r="AE1258" s="25"/>
      <c r="AG1258" s="25"/>
    </row>
    <row r="1259" spans="25:33" ht="12">
      <c r="Y1259" s="25"/>
      <c r="AE1259" s="25"/>
      <c r="AG1259" s="25"/>
    </row>
    <row r="1260" spans="25:33" ht="12">
      <c r="Y1260" s="25"/>
      <c r="AE1260" s="25"/>
      <c r="AG1260" s="25"/>
    </row>
    <row r="1261" spans="25:33" ht="12">
      <c r="Y1261" s="25"/>
      <c r="AE1261" s="25"/>
      <c r="AG1261" s="25"/>
    </row>
    <row r="1262" spans="25:33" ht="12">
      <c r="Y1262" s="25"/>
      <c r="AE1262" s="25"/>
      <c r="AG1262" s="25"/>
    </row>
    <row r="1263" spans="25:33" ht="12">
      <c r="Y1263" s="25"/>
      <c r="AE1263" s="25"/>
      <c r="AG1263" s="25"/>
    </row>
    <row r="1264" spans="25:33" ht="12">
      <c r="Y1264" s="25"/>
      <c r="AE1264" s="25"/>
      <c r="AG1264" s="25"/>
    </row>
    <row r="1265" spans="25:33" ht="12">
      <c r="Y1265" s="25"/>
      <c r="AE1265" s="25"/>
      <c r="AG1265" s="25"/>
    </row>
    <row r="1266" spans="25:33" ht="12">
      <c r="Y1266" s="25"/>
      <c r="AE1266" s="25"/>
      <c r="AG1266" s="25"/>
    </row>
    <row r="1267" spans="25:33" ht="12">
      <c r="Y1267" s="25"/>
      <c r="AE1267" s="25"/>
      <c r="AG1267" s="25"/>
    </row>
    <row r="1268" spans="25:33" ht="12">
      <c r="Y1268" s="25"/>
      <c r="AE1268" s="25"/>
      <c r="AG1268" s="25"/>
    </row>
    <row r="1269" spans="25:33" ht="12">
      <c r="Y1269" s="25"/>
      <c r="AE1269" s="25"/>
      <c r="AG1269" s="25"/>
    </row>
    <row r="1270" spans="25:33" ht="12">
      <c r="Y1270" s="25"/>
      <c r="AE1270" s="25"/>
      <c r="AG1270" s="25"/>
    </row>
    <row r="1271" spans="25:33" ht="12">
      <c r="Y1271" s="25"/>
      <c r="AE1271" s="25"/>
      <c r="AG1271" s="25"/>
    </row>
    <row r="1272" spans="25:33" ht="12">
      <c r="Y1272" s="25"/>
      <c r="AE1272" s="25"/>
      <c r="AG1272" s="25"/>
    </row>
    <row r="1273" spans="25:33" ht="12">
      <c r="Y1273" s="25"/>
      <c r="AE1273" s="25"/>
      <c r="AG1273" s="25"/>
    </row>
    <row r="1274" spans="25:33" ht="12">
      <c r="Y1274" s="25"/>
      <c r="AE1274" s="25"/>
      <c r="AG1274" s="25"/>
    </row>
    <row r="1275" spans="25:33" ht="12">
      <c r="Y1275" s="25"/>
      <c r="AE1275" s="25"/>
      <c r="AG1275" s="25"/>
    </row>
    <row r="1276" spans="25:33" ht="12">
      <c r="Y1276" s="25"/>
      <c r="AE1276" s="25"/>
      <c r="AG1276" s="25"/>
    </row>
    <row r="1277" spans="25:33" ht="12">
      <c r="Y1277" s="25"/>
      <c r="AE1277" s="25"/>
      <c r="AG1277" s="25"/>
    </row>
    <row r="1278" spans="25:33" ht="12">
      <c r="Y1278" s="25"/>
      <c r="AE1278" s="25"/>
      <c r="AG1278" s="25"/>
    </row>
    <row r="1279" spans="25:33" ht="12">
      <c r="Y1279" s="25"/>
      <c r="AE1279" s="25"/>
      <c r="AG1279" s="25"/>
    </row>
    <row r="1280" spans="25:33" ht="12">
      <c r="Y1280" s="25"/>
      <c r="AE1280" s="25"/>
      <c r="AG1280" s="25"/>
    </row>
    <row r="1281" spans="25:33" ht="12">
      <c r="Y1281" s="25"/>
      <c r="AE1281" s="25"/>
      <c r="AG1281" s="25"/>
    </row>
    <row r="1282" spans="25:33" ht="12">
      <c r="Y1282" s="25"/>
      <c r="AE1282" s="25"/>
      <c r="AG1282" s="25"/>
    </row>
    <row r="1283" spans="25:33" ht="12">
      <c r="Y1283" s="25"/>
      <c r="AE1283" s="25"/>
      <c r="AG1283" s="25"/>
    </row>
    <row r="1284" spans="25:33" ht="12">
      <c r="Y1284" s="25"/>
      <c r="AE1284" s="25"/>
      <c r="AG1284" s="25"/>
    </row>
    <row r="1285" spans="25:33" ht="12">
      <c r="Y1285" s="25"/>
      <c r="AE1285" s="25"/>
      <c r="AG1285" s="25"/>
    </row>
    <row r="1286" spans="25:33" ht="12">
      <c r="Y1286" s="25"/>
      <c r="AE1286" s="25"/>
      <c r="AG1286" s="25"/>
    </row>
    <row r="1287" spans="25:33" ht="12">
      <c r="Y1287" s="25"/>
      <c r="AE1287" s="25"/>
      <c r="AG1287" s="25"/>
    </row>
    <row r="1288" spans="25:33" ht="12">
      <c r="Y1288" s="25"/>
      <c r="AE1288" s="25"/>
      <c r="AG1288" s="25"/>
    </row>
    <row r="1289" spans="25:33" ht="12">
      <c r="Y1289" s="25"/>
      <c r="AE1289" s="25"/>
      <c r="AG1289" s="25"/>
    </row>
    <row r="1290" spans="25:33" ht="12">
      <c r="Y1290" s="25"/>
      <c r="AE1290" s="25"/>
      <c r="AG1290" s="25"/>
    </row>
    <row r="1291" spans="25:33" ht="12">
      <c r="Y1291" s="25"/>
      <c r="AE1291" s="25"/>
      <c r="AG1291" s="25"/>
    </row>
    <row r="1292" spans="25:33" ht="12">
      <c r="Y1292" s="25"/>
      <c r="AE1292" s="25"/>
      <c r="AG1292" s="25"/>
    </row>
    <row r="1293" spans="25:33" ht="12">
      <c r="Y1293" s="25"/>
      <c r="AE1293" s="25"/>
      <c r="AG1293" s="25"/>
    </row>
    <row r="1294" spans="25:33" ht="12">
      <c r="Y1294" s="25"/>
      <c r="AE1294" s="25"/>
      <c r="AG1294" s="25"/>
    </row>
    <row r="1295" spans="25:33" ht="12">
      <c r="Y1295" s="25"/>
      <c r="AE1295" s="25"/>
      <c r="AG1295" s="25"/>
    </row>
    <row r="1296" spans="25:33" ht="12">
      <c r="Y1296" s="25"/>
      <c r="AE1296" s="25"/>
      <c r="AG1296" s="25"/>
    </row>
    <row r="1297" spans="25:33" ht="12">
      <c r="Y1297" s="25"/>
      <c r="AE1297" s="25"/>
      <c r="AG1297" s="25"/>
    </row>
    <row r="1298" spans="25:33" ht="12">
      <c r="Y1298" s="25"/>
      <c r="AE1298" s="25"/>
      <c r="AG1298" s="25"/>
    </row>
    <row r="1299" spans="25:33" ht="12">
      <c r="Y1299" s="25"/>
      <c r="AE1299" s="25"/>
      <c r="AG1299" s="25"/>
    </row>
    <row r="1300" spans="25:33" ht="12">
      <c r="Y1300" s="25"/>
      <c r="AE1300" s="25"/>
      <c r="AG1300" s="25"/>
    </row>
    <row r="1301" spans="25:33" ht="12">
      <c r="Y1301" s="25"/>
      <c r="AE1301" s="25"/>
      <c r="AG1301" s="25"/>
    </row>
    <row r="1302" spans="25:33" ht="12">
      <c r="Y1302" s="25"/>
      <c r="AE1302" s="25"/>
      <c r="AG1302" s="25"/>
    </row>
    <row r="1303" spans="25:33" ht="12">
      <c r="Y1303" s="25"/>
      <c r="AE1303" s="25"/>
      <c r="AG1303" s="25"/>
    </row>
    <row r="1304" spans="25:33" ht="12">
      <c r="Y1304" s="25"/>
      <c r="AE1304" s="25"/>
      <c r="AG1304" s="25"/>
    </row>
    <row r="1305" spans="25:33" ht="12">
      <c r="Y1305" s="25"/>
      <c r="AE1305" s="25"/>
      <c r="AG1305" s="25"/>
    </row>
    <row r="1306" spans="25:33" ht="12">
      <c r="Y1306" s="25"/>
      <c r="AE1306" s="25"/>
      <c r="AG1306" s="25"/>
    </row>
    <row r="1307" spans="25:33" ht="12">
      <c r="Y1307" s="25"/>
      <c r="AE1307" s="25"/>
      <c r="AG1307" s="25"/>
    </row>
    <row r="1308" spans="25:33" ht="12">
      <c r="Y1308" s="25"/>
      <c r="AE1308" s="25"/>
      <c r="AG1308" s="25"/>
    </row>
    <row r="1309" spans="25:33" ht="12">
      <c r="Y1309" s="25"/>
      <c r="AE1309" s="25"/>
      <c r="AG1309" s="25"/>
    </row>
    <row r="1310" spans="25:33" ht="12">
      <c r="Y1310" s="25"/>
      <c r="AE1310" s="25"/>
      <c r="AG1310" s="25"/>
    </row>
    <row r="1311" spans="25:33" ht="12">
      <c r="Y1311" s="25"/>
      <c r="AE1311" s="25"/>
      <c r="AG1311" s="25"/>
    </row>
    <row r="1312" spans="25:33" ht="12">
      <c r="Y1312" s="25"/>
      <c r="AE1312" s="25"/>
      <c r="AG1312" s="25"/>
    </row>
    <row r="1313" spans="25:33" ht="12">
      <c r="Y1313" s="25"/>
      <c r="AE1313" s="25"/>
      <c r="AG1313" s="25"/>
    </row>
    <row r="1314" spans="25:33" ht="12">
      <c r="Y1314" s="25"/>
      <c r="AE1314" s="25"/>
      <c r="AG1314" s="25"/>
    </row>
    <row r="1315" spans="25:33" ht="12">
      <c r="Y1315" s="25"/>
      <c r="AE1315" s="25"/>
      <c r="AG1315" s="25"/>
    </row>
    <row r="1316" spans="25:33" ht="12">
      <c r="Y1316" s="25"/>
      <c r="AE1316" s="25"/>
      <c r="AG1316" s="25"/>
    </row>
    <row r="1317" spans="25:33" ht="12">
      <c r="Y1317" s="25"/>
      <c r="AE1317" s="25"/>
      <c r="AG1317" s="25"/>
    </row>
    <row r="1318" spans="25:33" ht="12">
      <c r="Y1318" s="25"/>
      <c r="AE1318" s="25"/>
      <c r="AG1318" s="25"/>
    </row>
    <row r="1319" spans="25:33" ht="12">
      <c r="Y1319" s="25"/>
      <c r="AE1319" s="25"/>
      <c r="AG1319" s="25"/>
    </row>
    <row r="1320" spans="25:33" ht="12">
      <c r="Y1320" s="25"/>
      <c r="AE1320" s="25"/>
      <c r="AG1320" s="25"/>
    </row>
    <row r="1321" spans="25:33" ht="12">
      <c r="Y1321" s="25"/>
      <c r="AE1321" s="25"/>
      <c r="AG1321" s="25"/>
    </row>
    <row r="1322" spans="25:33" ht="12">
      <c r="Y1322" s="25"/>
      <c r="AE1322" s="25"/>
      <c r="AG1322" s="25"/>
    </row>
    <row r="1323" spans="25:33" ht="12">
      <c r="Y1323" s="25"/>
      <c r="AE1323" s="25"/>
      <c r="AG1323" s="25"/>
    </row>
    <row r="1324" spans="25:33" ht="12">
      <c r="Y1324" s="25"/>
      <c r="AE1324" s="25"/>
      <c r="AG1324" s="25"/>
    </row>
    <row r="1325" spans="25:33" ht="12">
      <c r="Y1325" s="25"/>
      <c r="AE1325" s="25"/>
      <c r="AG1325" s="25"/>
    </row>
    <row r="1326" spans="25:33" ht="12">
      <c r="Y1326" s="25"/>
      <c r="AE1326" s="25"/>
      <c r="AG1326" s="25"/>
    </row>
    <row r="1327" spans="25:33" ht="12">
      <c r="Y1327" s="25"/>
      <c r="AE1327" s="25"/>
      <c r="AG1327" s="25"/>
    </row>
    <row r="1328" spans="25:33" ht="12">
      <c r="Y1328" s="25"/>
      <c r="AE1328" s="25"/>
      <c r="AG1328" s="25"/>
    </row>
    <row r="1329" spans="25:33" ht="12">
      <c r="Y1329" s="25"/>
      <c r="AE1329" s="25"/>
      <c r="AG1329" s="25"/>
    </row>
    <row r="1330" spans="25:33" ht="12">
      <c r="Y1330" s="25"/>
      <c r="AE1330" s="25"/>
      <c r="AG1330" s="25"/>
    </row>
    <row r="1331" spans="25:33" ht="12">
      <c r="Y1331" s="25"/>
      <c r="AE1331" s="25"/>
      <c r="AG1331" s="25"/>
    </row>
    <row r="1332" spans="25:33" ht="12">
      <c r="Y1332" s="25"/>
      <c r="AE1332" s="25"/>
      <c r="AG1332" s="25"/>
    </row>
    <row r="1333" spans="25:33" ht="12">
      <c r="Y1333" s="25"/>
      <c r="AE1333" s="25"/>
      <c r="AG1333" s="25"/>
    </row>
    <row r="1334" spans="25:33" ht="12">
      <c r="Y1334" s="25"/>
      <c r="AE1334" s="25"/>
      <c r="AG1334" s="25"/>
    </row>
    <row r="1335" spans="25:33" ht="12">
      <c r="Y1335" s="25"/>
      <c r="AE1335" s="25"/>
      <c r="AG1335" s="25"/>
    </row>
    <row r="1336" spans="25:33" ht="12">
      <c r="Y1336" s="25"/>
      <c r="AE1336" s="25"/>
      <c r="AG1336" s="25"/>
    </row>
    <row r="1337" spans="25:33" ht="12">
      <c r="Y1337" s="25"/>
      <c r="AE1337" s="25"/>
      <c r="AG1337" s="25"/>
    </row>
    <row r="1338" spans="25:33" ht="12">
      <c r="Y1338" s="25"/>
      <c r="AE1338" s="25"/>
      <c r="AG1338" s="25"/>
    </row>
    <row r="1339" spans="25:33" ht="12">
      <c r="Y1339" s="25"/>
      <c r="AE1339" s="25"/>
      <c r="AG1339" s="25"/>
    </row>
    <row r="1340" spans="25:33" ht="12">
      <c r="Y1340" s="25"/>
      <c r="AE1340" s="25"/>
      <c r="AG1340" s="25"/>
    </row>
    <row r="1341" spans="25:33" ht="12">
      <c r="Y1341" s="25"/>
      <c r="AE1341" s="25"/>
      <c r="AG1341" s="25"/>
    </row>
    <row r="1342" spans="25:33" ht="12">
      <c r="Y1342" s="25"/>
      <c r="AE1342" s="25"/>
      <c r="AG1342" s="25"/>
    </row>
    <row r="1343" spans="25:33" ht="12">
      <c r="Y1343" s="25"/>
      <c r="AE1343" s="25"/>
      <c r="AG1343" s="25"/>
    </row>
    <row r="1344" spans="25:33" ht="12">
      <c r="Y1344" s="25"/>
      <c r="AE1344" s="25"/>
      <c r="AG1344" s="25"/>
    </row>
    <row r="1345" spans="25:33" ht="12">
      <c r="Y1345" s="25"/>
      <c r="AE1345" s="25"/>
      <c r="AG1345" s="25"/>
    </row>
    <row r="1346" spans="25:33" ht="12">
      <c r="Y1346" s="25"/>
      <c r="AE1346" s="25"/>
      <c r="AG1346" s="25"/>
    </row>
    <row r="1347" spans="25:33" ht="12">
      <c r="Y1347" s="25"/>
      <c r="AE1347" s="25"/>
      <c r="AG1347" s="25"/>
    </row>
    <row r="1348" spans="25:33" ht="12">
      <c r="Y1348" s="25"/>
      <c r="AE1348" s="25"/>
      <c r="AG1348" s="25"/>
    </row>
    <row r="1349" spans="25:33" ht="12">
      <c r="Y1349" s="25"/>
      <c r="AE1349" s="25"/>
      <c r="AG1349" s="25"/>
    </row>
    <row r="1350" spans="25:33" ht="12">
      <c r="Y1350" s="25"/>
      <c r="AE1350" s="25"/>
      <c r="AG1350" s="25"/>
    </row>
    <row r="1351" spans="25:33" ht="12">
      <c r="Y1351" s="25"/>
      <c r="AE1351" s="25"/>
      <c r="AG1351" s="25"/>
    </row>
    <row r="1352" spans="25:33" ht="12">
      <c r="Y1352" s="25"/>
      <c r="AE1352" s="25"/>
      <c r="AG1352" s="25"/>
    </row>
    <row r="1353" spans="25:33" ht="12">
      <c r="Y1353" s="25"/>
      <c r="AE1353" s="25"/>
      <c r="AG1353" s="25"/>
    </row>
    <row r="1354" spans="25:33" ht="12">
      <c r="Y1354" s="25"/>
      <c r="AE1354" s="25"/>
      <c r="AG1354" s="25"/>
    </row>
    <row r="1355" spans="25:33" ht="12">
      <c r="Y1355" s="25"/>
      <c r="AE1355" s="25"/>
      <c r="AG1355" s="25"/>
    </row>
    <row r="1356" spans="25:33" ht="12">
      <c r="Y1356" s="25"/>
      <c r="AE1356" s="25"/>
      <c r="AG1356" s="25"/>
    </row>
    <row r="1357" spans="25:33" ht="12">
      <c r="Y1357" s="25"/>
      <c r="AE1357" s="25"/>
      <c r="AG1357" s="25"/>
    </row>
    <row r="1358" spans="25:33" ht="12">
      <c r="Y1358" s="25"/>
      <c r="AE1358" s="25"/>
      <c r="AG1358" s="25"/>
    </row>
    <row r="1359" spans="25:33" ht="12">
      <c r="Y1359" s="25"/>
      <c r="AE1359" s="25"/>
      <c r="AG1359" s="25"/>
    </row>
    <row r="1360" spans="25:33" ht="12">
      <c r="Y1360" s="25"/>
      <c r="AE1360" s="25"/>
      <c r="AG1360" s="25"/>
    </row>
    <row r="1361" spans="25:33" ht="12">
      <c r="Y1361" s="25"/>
      <c r="AE1361" s="25"/>
      <c r="AG1361" s="25"/>
    </row>
    <row r="1362" spans="25:33" ht="12">
      <c r="Y1362" s="25"/>
      <c r="AE1362" s="25"/>
      <c r="AG1362" s="25"/>
    </row>
    <row r="1363" spans="25:33" ht="12">
      <c r="Y1363" s="25"/>
      <c r="AE1363" s="25"/>
      <c r="AG1363" s="25"/>
    </row>
    <row r="1364" spans="25:33" ht="12">
      <c r="Y1364" s="25"/>
      <c r="AE1364" s="25"/>
      <c r="AG1364" s="25"/>
    </row>
    <row r="1365" spans="25:33" ht="12">
      <c r="Y1365" s="25"/>
      <c r="AE1365" s="25"/>
      <c r="AG1365" s="25"/>
    </row>
    <row r="1366" spans="25:33" ht="12">
      <c r="Y1366" s="25"/>
      <c r="AE1366" s="25"/>
      <c r="AG1366" s="25"/>
    </row>
    <row r="1367" spans="25:33" ht="12">
      <c r="Y1367" s="25"/>
      <c r="AE1367" s="25"/>
      <c r="AG1367" s="25"/>
    </row>
    <row r="1368" spans="25:33" ht="12">
      <c r="Y1368" s="25"/>
      <c r="AE1368" s="25"/>
      <c r="AG1368" s="25"/>
    </row>
    <row r="1369" spans="25:33" ht="12">
      <c r="Y1369" s="25"/>
      <c r="AE1369" s="25"/>
      <c r="AG1369" s="25"/>
    </row>
    <row r="1370" spans="25:33" ht="12">
      <c r="Y1370" s="25"/>
      <c r="AE1370" s="25"/>
      <c r="AG1370" s="25"/>
    </row>
    <row r="1371" spans="25:33" ht="12">
      <c r="Y1371" s="25"/>
      <c r="AE1371" s="25"/>
      <c r="AG1371" s="25"/>
    </row>
    <row r="1372" spans="25:33" ht="12">
      <c r="Y1372" s="25"/>
      <c r="AE1372" s="25"/>
      <c r="AG1372" s="25"/>
    </row>
    <row r="1373" spans="25:33" ht="12">
      <c r="Y1373" s="25"/>
      <c r="AE1373" s="25"/>
      <c r="AG1373" s="25"/>
    </row>
    <row r="1374" spans="25:33" ht="12">
      <c r="Y1374" s="25"/>
      <c r="AE1374" s="25"/>
      <c r="AG1374" s="25"/>
    </row>
    <row r="1375" spans="25:33" ht="12">
      <c r="Y1375" s="25"/>
      <c r="AE1375" s="25"/>
      <c r="AG1375" s="25"/>
    </row>
    <row r="1376" spans="25:33" ht="12">
      <c r="Y1376" s="25"/>
      <c r="AE1376" s="25"/>
      <c r="AG1376" s="25"/>
    </row>
    <row r="1377" spans="25:33" ht="12">
      <c r="Y1377" s="25"/>
      <c r="AE1377" s="25"/>
      <c r="AG1377" s="25"/>
    </row>
    <row r="1378" spans="25:33" ht="12">
      <c r="Y1378" s="25"/>
      <c r="AE1378" s="25"/>
      <c r="AG1378" s="25"/>
    </row>
    <row r="1379" spans="25:33" ht="12">
      <c r="Y1379" s="25"/>
      <c r="AE1379" s="25"/>
      <c r="AG1379" s="25"/>
    </row>
    <row r="1380" spans="25:33" ht="12">
      <c r="Y1380" s="25"/>
      <c r="AE1380" s="25"/>
      <c r="AG1380" s="25"/>
    </row>
    <row r="1381" spans="25:33" ht="12">
      <c r="Y1381" s="25"/>
      <c r="AE1381" s="25"/>
      <c r="AG1381" s="25"/>
    </row>
    <row r="1382" spans="25:33" ht="12">
      <c r="Y1382" s="25"/>
      <c r="AE1382" s="25"/>
      <c r="AG1382" s="25"/>
    </row>
    <row r="1383" spans="25:33" ht="12">
      <c r="Y1383" s="25"/>
      <c r="AE1383" s="25"/>
      <c r="AG1383" s="25"/>
    </row>
    <row r="1384" spans="25:33" ht="12">
      <c r="Y1384" s="25"/>
      <c r="AE1384" s="25"/>
      <c r="AG1384" s="25"/>
    </row>
    <row r="1385" spans="25:33" ht="12">
      <c r="Y1385" s="25"/>
      <c r="AE1385" s="25"/>
      <c r="AG1385" s="25"/>
    </row>
    <row r="1386" spans="25:33" ht="12">
      <c r="Y1386" s="25"/>
      <c r="AE1386" s="25"/>
      <c r="AG1386" s="25"/>
    </row>
    <row r="1387" spans="25:33" ht="12">
      <c r="Y1387" s="25"/>
      <c r="AE1387" s="25"/>
      <c r="AG1387" s="25"/>
    </row>
    <row r="1388" spans="25:33" ht="12">
      <c r="Y1388" s="25"/>
      <c r="AE1388" s="25"/>
      <c r="AG1388" s="25"/>
    </row>
    <row r="1389" spans="25:33" ht="12">
      <c r="Y1389" s="25"/>
      <c r="AE1389" s="25"/>
      <c r="AG1389" s="25"/>
    </row>
    <row r="1390" spans="25:33" ht="12">
      <c r="Y1390" s="25"/>
      <c r="AE1390" s="25"/>
      <c r="AG1390" s="25"/>
    </row>
    <row r="1391" spans="25:33" ht="12">
      <c r="Y1391" s="25"/>
      <c r="AE1391" s="25"/>
      <c r="AG1391" s="25"/>
    </row>
    <row r="1392" spans="25:33" ht="12">
      <c r="Y1392" s="25"/>
      <c r="AE1392" s="25"/>
      <c r="AG1392" s="25"/>
    </row>
    <row r="1393" spans="25:33" ht="12">
      <c r="Y1393" s="25"/>
      <c r="AE1393" s="25"/>
      <c r="AG1393" s="25"/>
    </row>
    <row r="1394" spans="25:33" ht="12">
      <c r="Y1394" s="25"/>
      <c r="AE1394" s="25"/>
      <c r="AG1394" s="25"/>
    </row>
    <row r="1395" spans="25:33" ht="12">
      <c r="Y1395" s="25"/>
      <c r="AE1395" s="25"/>
      <c r="AG1395" s="25"/>
    </row>
    <row r="1396" spans="25:33" ht="12">
      <c r="Y1396" s="25"/>
      <c r="AE1396" s="25"/>
      <c r="AG1396" s="25"/>
    </row>
    <row r="1397" spans="25:33" ht="12">
      <c r="Y1397" s="25"/>
      <c r="AE1397" s="25"/>
      <c r="AG1397" s="25"/>
    </row>
    <row r="1398" spans="25:33" ht="12">
      <c r="Y1398" s="25"/>
      <c r="AE1398" s="25"/>
      <c r="AG1398" s="25"/>
    </row>
    <row r="1399" spans="25:33" ht="12">
      <c r="Y1399" s="25"/>
      <c r="AE1399" s="25"/>
      <c r="AG1399" s="25"/>
    </row>
  </sheetData>
  <printOptions gridLines="1" headings="1" horizontalCentered="1"/>
  <pageMargins left="0.5" right="0.5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MAGAZINE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</dc:creator>
  <cp:keywords/>
  <dc:description/>
  <cp:lastModifiedBy>Carolyn Marsden</cp:lastModifiedBy>
  <cp:lastPrinted>2005-03-18T15:54:06Z</cp:lastPrinted>
  <dcterms:created xsi:type="dcterms:W3CDTF">2005-02-17T18:58:15Z</dcterms:created>
  <cp:category/>
  <cp:version/>
  <cp:contentType/>
  <cp:contentStatus/>
</cp:coreProperties>
</file>